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myWorkspace\Missouri TRM\LIM Round 2\3.7.5 Res Floor Insulation\Reference Documents\"/>
    </mc:Choice>
  </mc:AlternateContent>
  <bookViews>
    <workbookView xWindow="0" yWindow="0" windowWidth="19200" windowHeight="7245"/>
  </bookViews>
  <sheets>
    <sheet name="Analysis Explanation" sheetId="4" r:id="rId1"/>
    <sheet name="Gas Model" sheetId="1" r:id="rId2"/>
    <sheet name="MA Model" sheetId="2" state="hidden" r:id="rId3"/>
    <sheet name="Electric Model" sheetId="3" r:id="rId4"/>
  </sheets>
  <definedNames>
    <definedName name="_ftn1" localSheetId="1">'Gas Model'!$A$15</definedName>
    <definedName name="_ftn2" localSheetId="1">'Gas Model'!$K$28</definedName>
    <definedName name="_ftnref1" localSheetId="1">'Gas Model'!$B$2</definedName>
    <definedName name="_ftnref2" localSheetId="1">'Gas Model'!$M$7</definedName>
  </definedNames>
  <calcPr calcId="152511"/>
</workbook>
</file>

<file path=xl/calcChain.xml><?xml version="1.0" encoding="utf-8"?>
<calcChain xmlns="http://schemas.openxmlformats.org/spreadsheetml/2006/main">
  <c r="O12" i="3" l="1"/>
  <c r="M17" i="3" s="1"/>
  <c r="O10" i="1"/>
  <c r="M15" i="1" s="1"/>
  <c r="N17" i="1" l="1"/>
  <c r="D3" i="1" s="1"/>
  <c r="D6" i="1"/>
  <c r="D28" i="3" l="1"/>
  <c r="D25" i="3"/>
  <c r="D26" i="1"/>
  <c r="D23" i="1"/>
  <c r="D20" i="1"/>
  <c r="D12" i="1"/>
  <c r="D9" i="1"/>
  <c r="D11" i="3" l="1"/>
  <c r="D8" i="3"/>
  <c r="F28" i="3"/>
  <c r="E35" i="3" s="1"/>
  <c r="F25" i="3"/>
  <c r="E34" i="3" s="1"/>
  <c r="D14" i="3"/>
  <c r="F11" i="3"/>
  <c r="D35" i="3" s="1"/>
  <c r="F8" i="3"/>
  <c r="D34" i="3" s="1"/>
  <c r="N19" i="3" l="1"/>
  <c r="F14" i="3"/>
  <c r="D22" i="3" l="1"/>
  <c r="D5" i="3"/>
  <c r="F5" i="3" s="1"/>
  <c r="D33" i="3" s="1"/>
  <c r="F22" i="3"/>
  <c r="E33" i="3" s="1"/>
  <c r="F23" i="1" l="1"/>
  <c r="E32" i="1" s="1"/>
  <c r="F26" i="1"/>
  <c r="E33" i="1" s="1"/>
  <c r="F9" i="1"/>
  <c r="D33" i="1" s="1"/>
  <c r="F6" i="1"/>
  <c r="D32" i="1" s="1"/>
  <c r="F12" i="1" l="1"/>
  <c r="F20" i="1" l="1"/>
  <c r="E31" i="1" s="1"/>
  <c r="F3" i="1"/>
  <c r="D31" i="1" s="1"/>
</calcChain>
</file>

<file path=xl/comments1.xml><?xml version="1.0" encoding="utf-8"?>
<comments xmlns="http://schemas.openxmlformats.org/spreadsheetml/2006/main">
  <authors>
    <author>Samuel Dent</author>
  </authors>
  <commentList>
    <comment ref="D3" authorId="0" shapeId="0">
      <text>
        <r>
          <rPr>
            <b/>
            <sz val="8"/>
            <color indexed="81"/>
            <rFont val="Tahoma"/>
            <family val="2"/>
          </rPr>
          <t>Samuel Dent:</t>
        </r>
        <r>
          <rPr>
            <sz val="8"/>
            <color indexed="81"/>
            <rFont val="Tahoma"/>
            <family val="2"/>
          </rPr>
          <t xml:space="preserve">
Re done assuming 2ft above grade and 6 ft below</t>
        </r>
      </text>
    </comment>
    <comment ref="D6" authorId="0" shapeId="0">
      <text>
        <r>
          <rPr>
            <b/>
            <sz val="8"/>
            <color indexed="81"/>
            <rFont val="Tahoma"/>
            <family val="2"/>
          </rPr>
          <t>Samuel Dent:</t>
        </r>
        <r>
          <rPr>
            <sz val="8"/>
            <color indexed="81"/>
            <rFont val="Tahoma"/>
            <family val="2"/>
          </rPr>
          <t xml:space="preserve">
Baseline changed to R-5 due to IL TRM minimum</t>
        </r>
      </text>
    </comment>
    <comment ref="D20" authorId="0" shapeId="0">
      <text>
        <r>
          <rPr>
            <b/>
            <sz val="8"/>
            <color indexed="81"/>
            <rFont val="Tahoma"/>
            <family val="2"/>
          </rPr>
          <t>Samuel Dent:</t>
        </r>
        <r>
          <rPr>
            <sz val="8"/>
            <color indexed="81"/>
            <rFont val="Tahoma"/>
            <family val="2"/>
          </rPr>
          <t xml:space="preserve">
Re done assuming 2ft above grade and 6 ft below</t>
        </r>
      </text>
    </comment>
    <comment ref="D23" authorId="0" shapeId="0">
      <text>
        <r>
          <rPr>
            <b/>
            <sz val="8"/>
            <color indexed="81"/>
            <rFont val="Tahoma"/>
            <family val="2"/>
          </rPr>
          <t>Samuel Dent:</t>
        </r>
        <r>
          <rPr>
            <sz val="8"/>
            <color indexed="81"/>
            <rFont val="Tahoma"/>
            <family val="2"/>
          </rPr>
          <t xml:space="preserve">
Baseline changed to R-5 due to IL TRM minimum</t>
        </r>
      </text>
    </comment>
  </commentList>
</comments>
</file>

<file path=xl/comments2.xml><?xml version="1.0" encoding="utf-8"?>
<comments xmlns="http://schemas.openxmlformats.org/spreadsheetml/2006/main">
  <authors>
    <author>Samuel Dent</author>
  </authors>
  <commentList>
    <comment ref="D5" authorId="0" shapeId="0">
      <text>
        <r>
          <rPr>
            <b/>
            <sz val="8"/>
            <color indexed="81"/>
            <rFont val="Tahoma"/>
            <family val="2"/>
          </rPr>
          <t>Samuel Dent:</t>
        </r>
        <r>
          <rPr>
            <sz val="8"/>
            <color indexed="81"/>
            <rFont val="Tahoma"/>
            <family val="2"/>
          </rPr>
          <t xml:space="preserve">
Re done assuming 2ft above grade and 6 ft below</t>
        </r>
      </text>
    </comment>
    <comment ref="D8" authorId="0" shapeId="0">
      <text>
        <r>
          <rPr>
            <b/>
            <sz val="8"/>
            <color indexed="81"/>
            <rFont val="Tahoma"/>
            <family val="2"/>
          </rPr>
          <t>Samuel Dent:</t>
        </r>
        <r>
          <rPr>
            <sz val="8"/>
            <color indexed="81"/>
            <rFont val="Tahoma"/>
            <family val="2"/>
          </rPr>
          <t xml:space="preserve">
Baseline changed to R-5 due to IL TRM minimum</t>
        </r>
      </text>
    </comment>
    <comment ref="D22" authorId="0" shapeId="0">
      <text>
        <r>
          <rPr>
            <b/>
            <sz val="8"/>
            <color indexed="81"/>
            <rFont val="Tahoma"/>
            <family val="2"/>
          </rPr>
          <t>Samuel Dent:</t>
        </r>
        <r>
          <rPr>
            <sz val="8"/>
            <color indexed="81"/>
            <rFont val="Tahoma"/>
            <family val="2"/>
          </rPr>
          <t xml:space="preserve">
Re done assuming 2ft above grade and 6 ft below</t>
        </r>
      </text>
    </comment>
    <comment ref="D25" authorId="0" shapeId="0">
      <text>
        <r>
          <rPr>
            <b/>
            <sz val="8"/>
            <color indexed="81"/>
            <rFont val="Tahoma"/>
            <family val="2"/>
          </rPr>
          <t>Samuel Dent:</t>
        </r>
        <r>
          <rPr>
            <sz val="8"/>
            <color indexed="81"/>
            <rFont val="Tahoma"/>
            <family val="2"/>
          </rPr>
          <t xml:space="preserve">
Baseline changed to R-5 due to IL TRM minimum</t>
        </r>
      </text>
    </comment>
  </commentList>
</comments>
</file>

<file path=xl/sharedStrings.xml><?xml version="1.0" encoding="utf-8"?>
<sst xmlns="http://schemas.openxmlformats.org/spreadsheetml/2006/main" count="180" uniqueCount="113">
  <si>
    <t>Measure</t>
  </si>
  <si>
    <t>MA Participant Audit Data[1]</t>
  </si>
  <si>
    <t>MA Participants w/Valid Data</t>
  </si>
  <si>
    <t>TRM Algorithm Therm Savings</t>
  </si>
  <si>
    <t>MA Evaluated Therm Savings</t>
  </si>
  <si>
    <t>Percent Difference</t>
  </si>
  <si>
    <t>Basement Sidewall Insulation</t>
  </si>
  <si>
    <r>
      <t>287 ft</t>
    </r>
    <r>
      <rPr>
        <vertAlign val="superscript"/>
        <sz val="10"/>
        <color theme="1"/>
        <rFont val="Palatino Linotype"/>
        <family val="1"/>
      </rPr>
      <t>2</t>
    </r>
  </si>
  <si>
    <t>Rpre = 6.6</t>
  </si>
  <si>
    <t>Rpost = 23.6</t>
  </si>
  <si>
    <t>Wall Insulation</t>
  </si>
  <si>
    <r>
      <t>1,243 ft</t>
    </r>
    <r>
      <rPr>
        <vertAlign val="superscript"/>
        <sz val="10"/>
        <color theme="1"/>
        <rFont val="Palatino Linotype"/>
        <family val="1"/>
      </rPr>
      <t>2</t>
    </r>
  </si>
  <si>
    <t>Rpre = 3.4</t>
  </si>
  <si>
    <t>Attic Insulation</t>
  </si>
  <si>
    <r>
      <t>944 ft</t>
    </r>
    <r>
      <rPr>
        <vertAlign val="superscript"/>
        <sz val="10"/>
        <color theme="1"/>
        <rFont val="Palatino Linotype"/>
        <family val="1"/>
      </rPr>
      <t>2</t>
    </r>
  </si>
  <si>
    <t>Rpre = 8.2</t>
  </si>
  <si>
    <t>Rpost = 27.0</t>
  </si>
  <si>
    <r>
      <t>251 ft</t>
    </r>
    <r>
      <rPr>
        <vertAlign val="superscript"/>
        <sz val="10"/>
        <color theme="1"/>
        <rFont val="Palatino Linotype"/>
        <family val="1"/>
      </rPr>
      <t>2</t>
    </r>
  </si>
  <si>
    <r>
      <t>1,092 ft</t>
    </r>
    <r>
      <rPr>
        <vertAlign val="superscript"/>
        <sz val="10"/>
        <color theme="1"/>
        <rFont val="Palatino Linotype"/>
        <family val="1"/>
      </rPr>
      <t>2</t>
    </r>
  </si>
  <si>
    <t>Rpre = 3.7</t>
  </si>
  <si>
    <t>Rpost = 14.0</t>
  </si>
  <si>
    <r>
      <t>955 ft</t>
    </r>
    <r>
      <rPr>
        <vertAlign val="superscript"/>
        <sz val="10"/>
        <color theme="1"/>
        <rFont val="Palatino Linotype"/>
        <family val="1"/>
      </rPr>
      <t>2</t>
    </r>
  </si>
  <si>
    <t>Rpre = 9.4</t>
  </si>
  <si>
    <t>Rpost = 36.9</t>
  </si>
  <si>
    <t>Assume 50% conditioned</t>
  </si>
  <si>
    <t>ADJ factor</t>
  </si>
  <si>
    <t>Rpost = 14.4</t>
  </si>
  <si>
    <t>Basement</t>
  </si>
  <si>
    <t>Wall</t>
  </si>
  <si>
    <t>Attic</t>
  </si>
  <si>
    <t xml:space="preserve">LI </t>
  </si>
  <si>
    <t>NON-LI</t>
  </si>
  <si>
    <t>Low Income</t>
  </si>
  <si>
    <t>Based on:</t>
  </si>
  <si>
    <t>MA RRLI - 2011 Evaluation Impact Report - Low Income_FINAL_26JUNE2012</t>
  </si>
  <si>
    <t>MA RRLI - Home Energy Services  2011 Impact Evaluation Report_FINAL_04SE...</t>
  </si>
  <si>
    <t>Basement ceiling</t>
  </si>
  <si>
    <t>Rpost = 23.3</t>
  </si>
  <si>
    <r>
      <t>197 ft</t>
    </r>
    <r>
      <rPr>
        <vertAlign val="superscript"/>
        <sz val="10"/>
        <color theme="1"/>
        <rFont val="Palatino Linotype"/>
        <family val="1"/>
      </rPr>
      <t>2</t>
    </r>
  </si>
  <si>
    <t>Table 71. Gas Savings Measure-Level Model Parameters and Estimates</t>
  </si>
  <si>
    <t xml:space="preserve">ACCESS </t>
  </si>
  <si>
    <t xml:space="preserve">AERATOR </t>
  </si>
  <si>
    <t xml:space="preserve">AIR SEALING </t>
  </si>
  <si>
    <t xml:space="preserve">ATTIC INS </t>
  </si>
  <si>
    <t xml:space="preserve">BASEMENT INS </t>
  </si>
  <si>
    <t xml:space="preserve">HEHE_BOILER </t>
  </si>
  <si>
    <t xml:space="preserve">HEHE_DHW </t>
  </si>
  <si>
    <t xml:space="preserve">HEHE_FURNACE </t>
  </si>
  <si>
    <t xml:space="preserve">HEHE_TSTAT </t>
  </si>
  <si>
    <t xml:space="preserve">HEHE_WH </t>
  </si>
  <si>
    <t xml:space="preserve">MISC DHW </t>
  </si>
  <si>
    <t xml:space="preserve">MISC HVAC_OTHER </t>
  </si>
  <si>
    <t xml:space="preserve">OPOWER </t>
  </si>
  <si>
    <t xml:space="preserve">SHOWERHEAD </t>
  </si>
  <si>
    <t xml:space="preserve">TSTAT </t>
  </si>
  <si>
    <t xml:space="preserve">WALL INS </t>
  </si>
  <si>
    <t>Program Water Heating Participant</t>
  </si>
  <si>
    <t>Program Boiler Participant</t>
  </si>
  <si>
    <t>Program Opower Participant</t>
  </si>
  <si>
    <t>Program Showerhead Participant</t>
  </si>
  <si>
    <t>Program Furnace Participant</t>
  </si>
  <si>
    <t>Program Thermostat Participant</t>
  </si>
  <si>
    <t>Program Air Sealing Participant</t>
  </si>
  <si>
    <t>Program HVAC Participant</t>
  </si>
  <si>
    <t>Program Wall Insulation Participant</t>
  </si>
  <si>
    <t>?</t>
  </si>
  <si>
    <t>Program Attic Access Participant</t>
  </si>
  <si>
    <t>Program Aerator Participant</t>
  </si>
  <si>
    <t>Program Attic Insulation Participant</t>
  </si>
  <si>
    <t>Program Basement Insulation Participant</t>
  </si>
  <si>
    <t>Assume 2ft above, 6ft below grade</t>
  </si>
  <si>
    <t>ΔTherms = [(([((1/R_old_AG - 1/(R_added+R_old_AG)) * L_basement_wall_total * H_basement_wall_AG * (1-Framing_factor) + (1/(R_old_BG - 1/(R_added+R_old_BG)) * L_basement_wall_total * (H_basement_wall_total - H_basement_wall_AG) * (1-Framing_factor)] * 24 * HDD) / (ηHeat * 100,067)]  * ADJ</t>
  </si>
  <si>
    <t>Rpre = 8.0</t>
  </si>
  <si>
    <t>Rpost = 26.7</t>
  </si>
  <si>
    <r>
      <t>905ft</t>
    </r>
    <r>
      <rPr>
        <vertAlign val="superscript"/>
        <sz val="10"/>
        <color theme="1"/>
        <rFont val="Palatino Linotype"/>
        <family val="1"/>
      </rPr>
      <t>2</t>
    </r>
  </si>
  <si>
    <r>
      <t>949 ft</t>
    </r>
    <r>
      <rPr>
        <vertAlign val="superscript"/>
        <sz val="10"/>
        <color theme="1"/>
        <rFont val="Palatino Linotype"/>
        <family val="1"/>
      </rPr>
      <t>2</t>
    </r>
  </si>
  <si>
    <r>
      <t>162 ft</t>
    </r>
    <r>
      <rPr>
        <vertAlign val="superscript"/>
        <sz val="10"/>
        <color theme="1"/>
        <rFont val="Palatino Linotype"/>
        <family val="1"/>
      </rPr>
      <t>2</t>
    </r>
  </si>
  <si>
    <t>Rpre = 11</t>
  </si>
  <si>
    <r>
      <t>647ft</t>
    </r>
    <r>
      <rPr>
        <vertAlign val="superscript"/>
        <sz val="10"/>
        <color theme="1"/>
        <rFont val="Palatino Linotype"/>
        <family val="1"/>
      </rPr>
      <t>2</t>
    </r>
  </si>
  <si>
    <t>Rpre = 6.9</t>
  </si>
  <si>
    <t>Rpost = 25.5</t>
  </si>
  <si>
    <t>MA Evaluated kWh Savings</t>
  </si>
  <si>
    <t>TRM Algorithm kWh Savings</t>
  </si>
  <si>
    <r>
      <t>282 ft</t>
    </r>
    <r>
      <rPr>
        <vertAlign val="superscript"/>
        <sz val="10"/>
        <color theme="1"/>
        <rFont val="Palatino Linotype"/>
        <family val="1"/>
      </rPr>
      <t>2</t>
    </r>
  </si>
  <si>
    <t>Rpre = 13.9</t>
  </si>
  <si>
    <t>Rpost = 41.8</t>
  </si>
  <si>
    <r>
      <t>744 ft</t>
    </r>
    <r>
      <rPr>
        <vertAlign val="superscript"/>
        <sz val="10"/>
        <color theme="1"/>
        <rFont val="Palatino Linotype"/>
        <family val="1"/>
      </rPr>
      <t>2</t>
    </r>
  </si>
  <si>
    <r>
      <t>929 ft</t>
    </r>
    <r>
      <rPr>
        <vertAlign val="superscript"/>
        <sz val="10"/>
        <color theme="1"/>
        <rFont val="Palatino Linotype"/>
        <family val="1"/>
      </rPr>
      <t>2</t>
    </r>
  </si>
  <si>
    <t>[1] Also used MA LI program MA-specific base 60 HDD of 4834.</t>
  </si>
  <si>
    <t>[1] Also used MA LI program  MA-specific base 60 HDD of 4834.</t>
  </si>
  <si>
    <t>Study heating efficiency:</t>
  </si>
  <si>
    <t>*** Note these factors are not used in the TRM due to small sample size, use of building simulation as opposed to billing analysis and due to questions around appropriate heating efficiency assumption which greatly impacts the adjustment factors***</t>
  </si>
  <si>
    <t>The analysis performed in this spreadsheet is as follows:</t>
  </si>
  <si>
    <t>The savings estimates as derived by Navigant and Cadmus in the Massachusets study are listed in the column titled "MA Evaluated Therm Savings"</t>
  </si>
  <si>
    <t>The pre and post R-values and area insulated are taken from the studies.</t>
  </si>
  <si>
    <t>The TRM algorithm for basement wall is used assuming 2ft above ground and 6 ft below and the associated increase in R-value due to the surrounding earth.</t>
  </si>
  <si>
    <t>For basements we assume 50% are conditioned and 50% unconditioned and estimate an associated HDD based on the mix of base 60 and base 50 HDDs.</t>
  </si>
  <si>
    <t>The two values are compared to determine an adjustment factor to be applied to each measure.</t>
  </si>
  <si>
    <t>MA Low Income Study</t>
  </si>
  <si>
    <t>MA Home Energy Services Study</t>
  </si>
  <si>
    <t>The two studies are provided on the Sharepoint tracker item called "Insulation Measure Adjustment Factors" and also linked here:</t>
  </si>
  <si>
    <t>Note the electric model values are provided, however VEIC do not believe it appropriate to use these at this time due to small sample size, use of building simulation as opposed to billing analysis and due to questions around appropriate heating efficiency assumption which greatly impacts the adjustment factors</t>
  </si>
  <si>
    <t>For wall insulation where the pre R-value is below R-5, this is changed to R-5 to account for the minimum specified in the IA TRM</t>
  </si>
  <si>
    <t>Climate Zone (City based upon)</t>
  </si>
  <si>
    <t>Conditioned Space</t>
  </si>
  <si>
    <t>Unconditioned Space</t>
  </si>
  <si>
    <t>HDD 60 [1]</t>
  </si>
  <si>
    <t>HDD 50 [2]</t>
  </si>
  <si>
    <t>MA assumptions</t>
  </si>
  <si>
    <t>HDD60</t>
  </si>
  <si>
    <t>HDD50</t>
  </si>
  <si>
    <t>Average/Unknown (Knob Noster)</t>
  </si>
  <si>
    <t>The efficiency of the heating system is provided by the study authors and a HDD at 60 base temp for Massachusetts is applied.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</si>
</sst>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color theme="1"/>
      <name val="Calibri"/>
      <family val="2"/>
      <scheme val="minor"/>
    </font>
    <font>
      <b/>
      <sz val="10"/>
      <color rgb="FFFFFFFF"/>
      <name val="Palatino Linotype"/>
      <family val="1"/>
    </font>
    <font>
      <sz val="10"/>
      <color theme="1"/>
      <name val="Palatino Linotype"/>
      <family val="1"/>
    </font>
    <font>
      <vertAlign val="superscript"/>
      <sz val="10"/>
      <color theme="1"/>
      <name val="Palatino Linotype"/>
      <family val="1"/>
    </font>
    <font>
      <u/>
      <sz val="11"/>
      <color theme="10"/>
      <name val="Calibri"/>
      <family val="2"/>
      <scheme val="minor"/>
    </font>
    <font>
      <sz val="10"/>
      <color theme="1"/>
      <name val="Calibri"/>
      <family val="2"/>
    </font>
    <font>
      <sz val="11"/>
      <color theme="1"/>
      <name val="Calibri"/>
      <family val="2"/>
      <scheme val="minor"/>
    </font>
    <font>
      <sz val="8"/>
      <color indexed="81"/>
      <name val="Tahoma"/>
      <family val="2"/>
    </font>
    <font>
      <b/>
      <sz val="8"/>
      <color indexed="81"/>
      <name val="Tahoma"/>
      <family val="2"/>
    </font>
    <font>
      <sz val="10"/>
      <color theme="1"/>
      <name val="Calibri"/>
      <family val="2"/>
      <scheme val="minor"/>
    </font>
    <font>
      <b/>
      <sz val="10"/>
      <color rgb="FFFFFFFF"/>
      <name val="Calibri"/>
      <family val="2"/>
      <scheme val="minor"/>
    </font>
  </fonts>
  <fills count="6">
    <fill>
      <patternFill patternType="none"/>
    </fill>
    <fill>
      <patternFill patternType="gray125"/>
    </fill>
    <fill>
      <patternFill patternType="solid">
        <fgColor rgb="FF4F81BD"/>
        <bgColor indexed="64"/>
      </patternFill>
    </fill>
    <fill>
      <patternFill patternType="solid">
        <fgColor rgb="FFD3DFEE"/>
        <bgColor indexed="64"/>
      </patternFill>
    </fill>
    <fill>
      <patternFill patternType="solid">
        <fgColor rgb="FF7F7F7F"/>
        <bgColor indexed="64"/>
      </patternFill>
    </fill>
    <fill>
      <patternFill patternType="solid">
        <fgColor theme="0"/>
        <bgColor indexed="64"/>
      </patternFill>
    </fill>
  </fills>
  <borders count="18">
    <border>
      <left/>
      <right/>
      <top/>
      <bottom/>
      <diagonal/>
    </border>
    <border>
      <left style="medium">
        <color rgb="FF7BA0CD"/>
      </left>
      <right/>
      <top style="medium">
        <color rgb="FF7BA0CD"/>
      </top>
      <bottom style="medium">
        <color rgb="FF7BA0CD"/>
      </bottom>
      <diagonal/>
    </border>
    <border>
      <left/>
      <right/>
      <top style="medium">
        <color rgb="FF7BA0CD"/>
      </top>
      <bottom style="medium">
        <color rgb="FF7BA0CD"/>
      </bottom>
      <diagonal/>
    </border>
    <border>
      <left/>
      <right style="medium">
        <color rgb="FF7BA0CD"/>
      </right>
      <top style="medium">
        <color rgb="FF7BA0CD"/>
      </top>
      <bottom style="medium">
        <color rgb="FF7BA0CD"/>
      </bottom>
      <diagonal/>
    </border>
    <border>
      <left style="medium">
        <color rgb="FF7BA0CD"/>
      </left>
      <right/>
      <top/>
      <bottom style="medium">
        <color rgb="FF7BA0CD"/>
      </bottom>
      <diagonal/>
    </border>
    <border>
      <left style="medium">
        <color rgb="FF7BA0CD"/>
      </left>
      <right/>
      <top/>
      <bottom/>
      <diagonal/>
    </border>
    <border>
      <left/>
      <right/>
      <top/>
      <bottom style="medium">
        <color rgb="FF7BA0CD"/>
      </bottom>
      <diagonal/>
    </border>
    <border>
      <left/>
      <right style="medium">
        <color rgb="FF7BA0CD"/>
      </right>
      <top/>
      <bottom style="medium">
        <color rgb="FF7BA0CD"/>
      </bottom>
      <diagonal/>
    </border>
    <border>
      <left/>
      <right style="medium">
        <color rgb="FF7BA0CD"/>
      </right>
      <top/>
      <bottom/>
      <diagonal/>
    </border>
    <border>
      <left style="medium">
        <color rgb="FF7BA0CD"/>
      </left>
      <right/>
      <top style="medium">
        <color rgb="FF7BA0CD"/>
      </top>
      <bottom/>
      <diagonal/>
    </border>
    <border>
      <left/>
      <right/>
      <top style="medium">
        <color rgb="FF7BA0CD"/>
      </top>
      <bottom/>
      <diagonal/>
    </border>
    <border>
      <left/>
      <right style="medium">
        <color rgb="FF7BA0CD"/>
      </right>
      <top style="medium">
        <color rgb="FF7BA0CD"/>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4" fillId="0" borderId="0" applyNumberFormat="0" applyFill="0" applyBorder="0" applyAlignment="0" applyProtection="0"/>
    <xf numFmtId="9" fontId="6" fillId="0" borderId="0" applyFont="0" applyFill="0" applyBorder="0" applyAlignment="0" applyProtection="0"/>
  </cellStyleXfs>
  <cellXfs count="69">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2" borderId="2" xfId="1" applyFill="1" applyBorder="1" applyAlignment="1">
      <alignment horizontal="center" vertical="center" wrapText="1"/>
    </xf>
    <xf numFmtId="0" fontId="1" fillId="2" borderId="3"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 xfId="0" applyFont="1" applyFill="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4" fillId="0" borderId="0" xfId="1" applyAlignment="1">
      <alignment vertical="center"/>
    </xf>
    <xf numFmtId="0" fontId="4" fillId="0" borderId="0" xfId="1" applyAlignment="1">
      <alignment horizontal="left" vertical="center"/>
    </xf>
    <xf numFmtId="3" fontId="5" fillId="0" borderId="0" xfId="0" applyNumberFormat="1" applyFont="1" applyFill="1" applyBorder="1" applyAlignment="1">
      <alignment vertical="center"/>
    </xf>
    <xf numFmtId="0" fontId="0" fillId="0" borderId="16" xfId="0" applyBorder="1"/>
    <xf numFmtId="0" fontId="0" fillId="0" borderId="16" xfId="0" applyBorder="1" applyAlignment="1">
      <alignment horizontal="center"/>
    </xf>
    <xf numFmtId="9" fontId="0" fillId="0" borderId="16" xfId="0" applyNumberFormat="1" applyBorder="1" applyAlignment="1">
      <alignment horizontal="center"/>
    </xf>
    <xf numFmtId="0" fontId="2" fillId="5" borderId="0" xfId="0" applyFont="1" applyFill="1" applyBorder="1" applyAlignment="1">
      <alignment vertical="center" wrapText="1"/>
    </xf>
    <xf numFmtId="0" fontId="2" fillId="5" borderId="0" xfId="0" applyFont="1" applyFill="1" applyAlignment="1">
      <alignment horizontal="center" vertical="center" wrapText="1"/>
    </xf>
    <xf numFmtId="0" fontId="2" fillId="5" borderId="0" xfId="0" applyFont="1" applyFill="1" applyBorder="1" applyAlignment="1">
      <alignment horizontal="center" vertical="center" wrapText="1"/>
    </xf>
    <xf numFmtId="0" fontId="2" fillId="5" borderId="6" xfId="0" applyFont="1" applyFill="1" applyBorder="1" applyAlignment="1">
      <alignment horizontal="center" vertical="center" wrapText="1"/>
    </xf>
    <xf numFmtId="9" fontId="0" fillId="0" borderId="0" xfId="2" applyFont="1"/>
    <xf numFmtId="0" fontId="0" fillId="0" borderId="0" xfId="0" applyAlignment="1">
      <alignment horizontal="right"/>
    </xf>
    <xf numFmtId="164" fontId="0" fillId="0" borderId="0" xfId="0" applyNumberFormat="1"/>
    <xf numFmtId="0" fontId="0" fillId="0" borderId="0" xfId="0" quotePrefix="1"/>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3" borderId="0" xfId="0" applyFont="1" applyFill="1" applyAlignment="1">
      <alignment horizontal="center" vertical="center" wrapText="1"/>
    </xf>
    <xf numFmtId="0" fontId="2" fillId="3" borderId="6"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4" fillId="0" borderId="0" xfId="1"/>
    <xf numFmtId="0" fontId="10" fillId="4" borderId="14" xfId="0" applyFont="1" applyFill="1" applyBorder="1" applyAlignment="1">
      <alignment horizontal="center" vertical="center"/>
    </xf>
    <xf numFmtId="0" fontId="10" fillId="4" borderId="14" xfId="0" applyFont="1" applyFill="1" applyBorder="1" applyAlignment="1">
      <alignment horizontal="center" vertical="center" wrapText="1"/>
    </xf>
    <xf numFmtId="0" fontId="4" fillId="4" borderId="15" xfId="1" applyFill="1" applyBorder="1" applyAlignment="1">
      <alignment horizontal="center" vertical="center"/>
    </xf>
    <xf numFmtId="0" fontId="4" fillId="4" borderId="15" xfId="1" applyFill="1" applyBorder="1" applyAlignment="1">
      <alignment horizontal="center" vertical="center" wrapText="1"/>
    </xf>
    <xf numFmtId="0" fontId="9" fillId="0" borderId="13" xfId="0" applyFont="1" applyBorder="1" applyAlignment="1">
      <alignment horizontal="left" vertical="center" wrapText="1"/>
    </xf>
    <xf numFmtId="3" fontId="9" fillId="0" borderId="15" xfId="0" applyNumberFormat="1" applyFont="1" applyBorder="1" applyAlignment="1">
      <alignment horizontal="center" vertical="center"/>
    </xf>
    <xf numFmtId="3" fontId="9" fillId="0" borderId="15" xfId="0" applyNumberFormat="1" applyFont="1" applyBorder="1" applyAlignment="1">
      <alignment horizontal="center" vertical="center" wrapText="1"/>
    </xf>
    <xf numFmtId="0" fontId="0" fillId="0" borderId="0" xfId="0" applyAlignment="1">
      <alignment horizontal="left" wrapText="1"/>
    </xf>
    <xf numFmtId="0" fontId="10" fillId="4" borderId="1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5" xfId="0" applyFont="1" applyFill="1" applyBorder="1" applyAlignment="1">
      <alignment vertical="center" wrapText="1"/>
    </xf>
    <xf numFmtId="0" fontId="2" fillId="3" borderId="4" xfId="0" applyFont="1" applyFill="1" applyBorder="1" applyAlignment="1">
      <alignment vertical="center" wrapText="1"/>
    </xf>
    <xf numFmtId="0" fontId="2" fillId="3" borderId="10"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 xfId="0" applyFont="1" applyFill="1" applyBorder="1" applyAlignment="1">
      <alignment horizontal="center" vertical="center" wrapText="1"/>
    </xf>
    <xf numFmtId="164" fontId="2" fillId="3" borderId="10" xfId="0" applyNumberFormat="1" applyFont="1" applyFill="1" applyBorder="1" applyAlignment="1">
      <alignment horizontal="center" vertical="center" wrapText="1"/>
    </xf>
    <xf numFmtId="164" fontId="2" fillId="3" borderId="0" xfId="0" applyNumberFormat="1" applyFont="1" applyFill="1" applyAlignment="1">
      <alignment horizontal="center" vertical="center" wrapText="1"/>
    </xf>
    <xf numFmtId="164" fontId="2" fillId="3" borderId="6" xfId="0" applyNumberFormat="1" applyFont="1" applyFill="1" applyBorder="1" applyAlignment="1">
      <alignment horizontal="center" vertical="center" wrapText="1"/>
    </xf>
    <xf numFmtId="9" fontId="2" fillId="3" borderId="11" xfId="0" applyNumberFormat="1" applyFont="1" applyFill="1" applyBorder="1" applyAlignment="1">
      <alignment horizontal="center" vertical="center" wrapText="1"/>
    </xf>
    <xf numFmtId="9" fontId="2" fillId="3" borderId="8" xfId="0" applyNumberFormat="1" applyFont="1" applyFill="1" applyBorder="1" applyAlignment="1">
      <alignment horizontal="center" vertical="center" wrapText="1"/>
    </xf>
    <xf numFmtId="9" fontId="2" fillId="3" borderId="7" xfId="0" applyNumberFormat="1" applyFont="1" applyFill="1" applyBorder="1" applyAlignment="1">
      <alignment horizontal="center" vertical="center" wrapText="1"/>
    </xf>
    <xf numFmtId="0" fontId="2" fillId="0" borderId="9" xfId="0" applyFont="1" applyBorder="1" applyAlignment="1">
      <alignment vertical="center" wrapText="1"/>
    </xf>
    <xf numFmtId="0" fontId="2" fillId="0" borderId="5" xfId="0" applyFont="1" applyBorder="1" applyAlignment="1">
      <alignment vertical="center" wrapText="1"/>
    </xf>
    <xf numFmtId="0" fontId="2" fillId="0" borderId="4" xfId="0" applyFont="1" applyBorder="1" applyAlignment="1">
      <alignment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164" fontId="2" fillId="0" borderId="10" xfId="0" applyNumberFormat="1" applyFont="1" applyBorder="1" applyAlignment="1">
      <alignment horizontal="center" vertical="center" wrapText="1"/>
    </xf>
    <xf numFmtId="164" fontId="2" fillId="0" borderId="0" xfId="0" applyNumberFormat="1" applyFont="1" applyAlignment="1">
      <alignment horizontal="center" vertical="center" wrapText="1"/>
    </xf>
    <xf numFmtId="164" fontId="2" fillId="0" borderId="6" xfId="0" applyNumberFormat="1" applyFont="1" applyBorder="1" applyAlignment="1">
      <alignment horizontal="center" vertical="center" wrapText="1"/>
    </xf>
    <xf numFmtId="9" fontId="2" fillId="5" borderId="11" xfId="0" applyNumberFormat="1" applyFont="1" applyFill="1" applyBorder="1" applyAlignment="1">
      <alignment horizontal="center" vertical="center" wrapText="1"/>
    </xf>
    <xf numFmtId="9" fontId="2" fillId="5" borderId="8" xfId="0" applyNumberFormat="1" applyFont="1" applyFill="1" applyBorder="1" applyAlignment="1">
      <alignment horizontal="center" vertical="center" wrapText="1"/>
    </xf>
    <xf numFmtId="9" fontId="2" fillId="5" borderId="7" xfId="0" applyNumberFormat="1" applyFont="1" applyFill="1" applyBorder="1" applyAlignment="1">
      <alignment horizontal="center" vertical="center" wrapText="1"/>
    </xf>
    <xf numFmtId="164" fontId="2" fillId="5" borderId="10" xfId="0" applyNumberFormat="1" applyFont="1" applyFill="1" applyBorder="1" applyAlignment="1">
      <alignment horizontal="center" vertical="center" wrapText="1"/>
    </xf>
    <xf numFmtId="164" fontId="2" fillId="5" borderId="0" xfId="0" applyNumberFormat="1" applyFont="1" applyFill="1" applyAlignment="1">
      <alignment horizontal="center" vertical="center" wrapText="1"/>
    </xf>
    <xf numFmtId="164" fontId="2" fillId="5" borderId="6" xfId="0" applyNumberFormat="1" applyFont="1" applyFill="1" applyBorder="1" applyAlignment="1">
      <alignment horizontal="center" vertical="center" wrapText="1"/>
    </xf>
    <xf numFmtId="0" fontId="0" fillId="0" borderId="0" xfId="0" applyAlignment="1">
      <alignment horizontal="center" wrapText="1"/>
    </xf>
    <xf numFmtId="0" fontId="9" fillId="0" borderId="17" xfId="0" applyFont="1" applyBorder="1" applyAlignment="1">
      <alignment horizontal="justify" vertical="center" wrapText="1"/>
    </xf>
    <xf numFmtId="0" fontId="9" fillId="0" borderId="14" xfId="0" applyFont="1" applyBorder="1" applyAlignment="1">
      <alignment horizontal="center" vertical="center"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file:///\\portal.veic.org\DavWWWRoot\projects\iowatrm\Shared%20Documents\TRM%20Reference%20Documents\Residential\Shell\MA%20RRLI%20-%20Home%20Energy%20Services%20%202011%20Impact%20Evaluation%20Report_FINAL.pdf" TargetMode="External"/><Relationship Id="rId1" Type="http://schemas.openxmlformats.org/officeDocument/2006/relationships/hyperlink" Target="file:///\\portal.veic.org\DavWWWRoot\projects\iowatrm\Shared%20Documents\TRM%20Reference%20Documents\Residential\Shell\MA%20RRLI%20-%202011%20Evaluation%20Impact%20Report%20-%20Low%20Income_FINAL_26JUNE2012.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8"/>
  <sheetViews>
    <sheetView tabSelected="1" workbookViewId="0"/>
  </sheetViews>
  <sheetFormatPr defaultRowHeight="15" x14ac:dyDescent="0.25"/>
  <sheetData>
    <row r="2" spans="1:7" x14ac:dyDescent="0.25">
      <c r="A2" t="s">
        <v>92</v>
      </c>
    </row>
    <row r="4" spans="1:7" x14ac:dyDescent="0.25">
      <c r="B4" t="s">
        <v>93</v>
      </c>
    </row>
    <row r="5" spans="1:7" x14ac:dyDescent="0.25">
      <c r="C5" t="s">
        <v>100</v>
      </c>
    </row>
    <row r="6" spans="1:7" x14ac:dyDescent="0.25">
      <c r="G6" s="28" t="s">
        <v>98</v>
      </c>
    </row>
    <row r="7" spans="1:7" x14ac:dyDescent="0.25">
      <c r="G7" s="28" t="s">
        <v>99</v>
      </c>
    </row>
    <row r="10" spans="1:7" x14ac:dyDescent="0.25">
      <c r="C10" t="s">
        <v>94</v>
      </c>
    </row>
    <row r="11" spans="1:7" x14ac:dyDescent="0.25">
      <c r="C11" t="s">
        <v>112</v>
      </c>
    </row>
    <row r="12" spans="1:7" x14ac:dyDescent="0.25">
      <c r="C12" t="s">
        <v>102</v>
      </c>
    </row>
    <row r="13" spans="1:7" x14ac:dyDescent="0.25">
      <c r="C13" t="s">
        <v>95</v>
      </c>
    </row>
    <row r="14" spans="1:7" x14ac:dyDescent="0.25">
      <c r="C14" t="s">
        <v>96</v>
      </c>
    </row>
    <row r="16" spans="1:7" x14ac:dyDescent="0.25">
      <c r="B16" t="s">
        <v>97</v>
      </c>
    </row>
    <row r="18" spans="2:17" ht="33" customHeight="1" x14ac:dyDescent="0.25">
      <c r="B18" s="36" t="s">
        <v>101</v>
      </c>
      <c r="C18" s="36"/>
      <c r="D18" s="36"/>
      <c r="E18" s="36"/>
      <c r="F18" s="36"/>
      <c r="G18" s="36"/>
      <c r="H18" s="36"/>
      <c r="I18" s="36"/>
      <c r="J18" s="36"/>
      <c r="K18" s="36"/>
      <c r="L18" s="36"/>
      <c r="M18" s="36"/>
      <c r="N18" s="36"/>
      <c r="O18" s="36"/>
      <c r="P18" s="36"/>
      <c r="Q18" s="36"/>
    </row>
  </sheetData>
  <mergeCells count="1">
    <mergeCell ref="B18:Q18"/>
  </mergeCells>
  <hyperlinks>
    <hyperlink ref="G6" r:id="rId1"/>
    <hyperlink ref="G7"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0"/>
  <sheetViews>
    <sheetView topLeftCell="B1" workbookViewId="0">
      <selection activeCell="O10" sqref="O10"/>
    </sheetView>
  </sheetViews>
  <sheetFormatPr defaultRowHeight="15" x14ac:dyDescent="0.25"/>
  <cols>
    <col min="1" max="1" width="22.140625" customWidth="1"/>
    <col min="2" max="2" width="17.85546875" customWidth="1"/>
    <col min="3" max="6" width="17.140625" customWidth="1"/>
    <col min="11" max="11" width="17" customWidth="1"/>
    <col min="12" max="16" width="10.5703125" bestFit="1" customWidth="1"/>
  </cols>
  <sheetData>
    <row r="1" spans="1:15" thickBot="1" x14ac:dyDescent="0.35">
      <c r="A1" t="s">
        <v>32</v>
      </c>
      <c r="B1" t="s">
        <v>33</v>
      </c>
      <c r="C1" t="s">
        <v>34</v>
      </c>
    </row>
    <row r="2" spans="1:15" ht="60.75" thickBot="1" x14ac:dyDescent="0.3">
      <c r="A2" s="1" t="s">
        <v>0</v>
      </c>
      <c r="B2" s="3" t="s">
        <v>1</v>
      </c>
      <c r="C2" s="2" t="s">
        <v>2</v>
      </c>
      <c r="D2" s="2" t="s">
        <v>3</v>
      </c>
      <c r="E2" s="2" t="s">
        <v>4</v>
      </c>
      <c r="F2" s="4" t="s">
        <v>25</v>
      </c>
      <c r="H2" s="27" t="s">
        <v>90</v>
      </c>
    </row>
    <row r="3" spans="1:15" ht="16.5" x14ac:dyDescent="0.25">
      <c r="A3" s="39" t="s">
        <v>6</v>
      </c>
      <c r="B3" s="5" t="s">
        <v>7</v>
      </c>
      <c r="C3" s="42">
        <v>3</v>
      </c>
      <c r="D3" s="45">
        <f>((((1/6.6-1/23.6)*0.25*287*1)+((1/(6.6+8.46)-1/(23.6+8.46))*0.75*287))*24*N17)/($H$3*100067)</f>
        <v>18.530663099532823</v>
      </c>
      <c r="E3" s="42">
        <v>13</v>
      </c>
      <c r="F3" s="48">
        <f>E3/D3</f>
        <v>0.70153992494352468</v>
      </c>
      <c r="H3">
        <v>0.77</v>
      </c>
    </row>
    <row r="4" spans="1:15" x14ac:dyDescent="0.25">
      <c r="A4" s="40"/>
      <c r="B4" s="5" t="s">
        <v>8</v>
      </c>
      <c r="C4" s="43"/>
      <c r="D4" s="46"/>
      <c r="E4" s="43"/>
      <c r="F4" s="49"/>
    </row>
    <row r="5" spans="1:15" ht="15.75" thickBot="1" x14ac:dyDescent="0.3">
      <c r="A5" s="41"/>
      <c r="B5" s="6" t="s">
        <v>9</v>
      </c>
      <c r="C5" s="44"/>
      <c r="D5" s="47"/>
      <c r="E5" s="44"/>
      <c r="F5" s="50"/>
    </row>
    <row r="6" spans="1:15" ht="26.25" thickBot="1" x14ac:dyDescent="0.3">
      <c r="A6" s="51" t="s">
        <v>10</v>
      </c>
      <c r="B6" s="7" t="s">
        <v>11</v>
      </c>
      <c r="C6" s="54">
        <v>210</v>
      </c>
      <c r="D6" s="57">
        <f xml:space="preserve"> (((1/5 - 1/14.4) * 1243 * (1-0.25)) * 24 * 4834) / ($H$3 * 100067)</f>
        <v>183.25845968915115</v>
      </c>
      <c r="E6" s="54">
        <v>115</v>
      </c>
      <c r="F6" s="60">
        <f t="shared" ref="F6" si="0">E6/D6</f>
        <v>0.62752901118489524</v>
      </c>
      <c r="K6" s="37" t="s">
        <v>103</v>
      </c>
      <c r="L6" s="29" t="s">
        <v>104</v>
      </c>
      <c r="M6" s="30" t="s">
        <v>105</v>
      </c>
    </row>
    <row r="7" spans="1:15" ht="15.75" thickBot="1" x14ac:dyDescent="0.3">
      <c r="A7" s="52"/>
      <c r="B7" s="7" t="s">
        <v>12</v>
      </c>
      <c r="C7" s="55"/>
      <c r="D7" s="58"/>
      <c r="E7" s="55"/>
      <c r="F7" s="61"/>
      <c r="K7" s="38"/>
      <c r="L7" s="31" t="s">
        <v>106</v>
      </c>
      <c r="M7" s="32" t="s">
        <v>107</v>
      </c>
    </row>
    <row r="8" spans="1:15" ht="15.75" thickBot="1" x14ac:dyDescent="0.3">
      <c r="A8" s="53"/>
      <c r="B8" s="8" t="s">
        <v>26</v>
      </c>
      <c r="C8" s="56"/>
      <c r="D8" s="59"/>
      <c r="E8" s="56"/>
      <c r="F8" s="62"/>
      <c r="K8" s="33"/>
      <c r="L8" s="34"/>
      <c r="M8" s="35"/>
    </row>
    <row r="9" spans="1:15" ht="17.25" thickBot="1" x14ac:dyDescent="0.3">
      <c r="A9" s="39" t="s">
        <v>13</v>
      </c>
      <c r="B9" s="5" t="s">
        <v>14</v>
      </c>
      <c r="C9" s="42">
        <v>248</v>
      </c>
      <c r="D9" s="45">
        <f xml:space="preserve"> (((1/8.2 - 1/27) * 944 * (1-0.07)) * 24 * 4834) / ($H$3 * 100067)</f>
        <v>112.24615116783171</v>
      </c>
      <c r="E9" s="42">
        <v>83</v>
      </c>
      <c r="F9" s="48">
        <f t="shared" ref="F9" si="1">E9/D9</f>
        <v>0.73944628957386216</v>
      </c>
      <c r="K9" s="33"/>
      <c r="L9" s="34"/>
      <c r="M9" s="35"/>
    </row>
    <row r="10" spans="1:15" ht="26.25" thickBot="1" x14ac:dyDescent="0.3">
      <c r="A10" s="40"/>
      <c r="B10" s="5" t="s">
        <v>15</v>
      </c>
      <c r="C10" s="43"/>
      <c r="D10" s="46"/>
      <c r="E10" s="43"/>
      <c r="F10" s="49"/>
      <c r="K10" s="67" t="s">
        <v>111</v>
      </c>
      <c r="L10" s="68">
        <v>3782</v>
      </c>
      <c r="M10" s="35">
        <v>2259</v>
      </c>
      <c r="O10" s="19">
        <f>M10/L10</f>
        <v>0.59730301427815968</v>
      </c>
    </row>
    <row r="11" spans="1:15" ht="15.75" thickBot="1" x14ac:dyDescent="0.3">
      <c r="A11" s="41"/>
      <c r="B11" s="6" t="s">
        <v>16</v>
      </c>
      <c r="C11" s="44"/>
      <c r="D11" s="47"/>
      <c r="E11" s="44"/>
      <c r="F11" s="50"/>
    </row>
    <row r="12" spans="1:15" ht="16.5" x14ac:dyDescent="0.25">
      <c r="A12" s="15"/>
      <c r="B12" s="16" t="s">
        <v>38</v>
      </c>
      <c r="C12" s="17"/>
      <c r="D12" s="63">
        <f xml:space="preserve"> (((1/3.4 - 1/23.3) * 197 * (1-0.12)) * 24 * M15) / ($H$3 * 100067)</f>
        <v>39.164999542573462</v>
      </c>
      <c r="E12" s="17"/>
      <c r="F12" s="60">
        <f>E13/D12</f>
        <v>0.38299502553790599</v>
      </c>
    </row>
    <row r="13" spans="1:15" x14ac:dyDescent="0.25">
      <c r="A13" s="15" t="s">
        <v>36</v>
      </c>
      <c r="B13" s="16" t="s">
        <v>12</v>
      </c>
      <c r="C13" s="17">
        <v>11</v>
      </c>
      <c r="D13" s="64"/>
      <c r="E13" s="17">
        <v>15</v>
      </c>
      <c r="F13" s="61"/>
    </row>
    <row r="14" spans="1:15" ht="15.75" thickBot="1" x14ac:dyDescent="0.3">
      <c r="A14" s="15"/>
      <c r="B14" s="18" t="s">
        <v>37</v>
      </c>
      <c r="C14" s="17"/>
      <c r="D14" s="65"/>
      <c r="E14" s="17"/>
      <c r="F14" s="62"/>
      <c r="L14" t="s">
        <v>109</v>
      </c>
      <c r="M14" t="s">
        <v>110</v>
      </c>
    </row>
    <row r="15" spans="1:15" x14ac:dyDescent="0.25">
      <c r="A15" s="9" t="s">
        <v>89</v>
      </c>
      <c r="K15" t="s">
        <v>108</v>
      </c>
      <c r="L15" s="11">
        <v>4834</v>
      </c>
      <c r="M15">
        <f>L15*O10</f>
        <v>2887.3627710206238</v>
      </c>
    </row>
    <row r="16" spans="1:15" x14ac:dyDescent="0.25">
      <c r="K16" s="10"/>
    </row>
    <row r="17" spans="1:16" x14ac:dyDescent="0.25">
      <c r="K17" t="s">
        <v>24</v>
      </c>
      <c r="N17">
        <f>(L15*0.5)+(M15*0.5)</f>
        <v>3860.6813855103119</v>
      </c>
    </row>
    <row r="18" spans="1:16" ht="15" customHeight="1" thickBot="1" x14ac:dyDescent="0.3">
      <c r="A18" t="s">
        <v>31</v>
      </c>
      <c r="B18" t="s">
        <v>33</v>
      </c>
      <c r="C18" t="s">
        <v>35</v>
      </c>
    </row>
    <row r="19" spans="1:16" ht="45.6" customHeight="1" thickBot="1" x14ac:dyDescent="0.3">
      <c r="A19" s="1" t="s">
        <v>0</v>
      </c>
      <c r="B19" s="3" t="s">
        <v>1</v>
      </c>
      <c r="C19" s="2" t="s">
        <v>2</v>
      </c>
      <c r="D19" s="2" t="s">
        <v>3</v>
      </c>
      <c r="E19" s="2" t="s">
        <v>4</v>
      </c>
      <c r="F19" s="4" t="s">
        <v>5</v>
      </c>
      <c r="H19" s="27" t="s">
        <v>90</v>
      </c>
    </row>
    <row r="20" spans="1:16" ht="16.5" x14ac:dyDescent="0.25">
      <c r="A20" s="39" t="s">
        <v>6</v>
      </c>
      <c r="B20" s="5" t="s">
        <v>17</v>
      </c>
      <c r="C20" s="42">
        <v>187</v>
      </c>
      <c r="D20" s="45">
        <f>((((1/6.6-1/23.6)*0.25*251*1)+((1/(6.6+8.46)-1/(23.6+8.46))*0.75*251))*24*N17)/($H$20*100067)</f>
        <v>15.998486809821799</v>
      </c>
      <c r="E20" s="42">
        <v>14</v>
      </c>
      <c r="F20" s="48">
        <f>E20/D20</f>
        <v>0.87508276041488586</v>
      </c>
      <c r="H20">
        <v>0.78</v>
      </c>
    </row>
    <row r="21" spans="1:16" x14ac:dyDescent="0.25">
      <c r="A21" s="40"/>
      <c r="B21" s="5" t="s">
        <v>8</v>
      </c>
      <c r="C21" s="43"/>
      <c r="D21" s="46"/>
      <c r="E21" s="43"/>
      <c r="F21" s="49"/>
    </row>
    <row r="22" spans="1:16" ht="15.75" thickBot="1" x14ac:dyDescent="0.3">
      <c r="A22" s="41"/>
      <c r="B22" s="6" t="s">
        <v>9</v>
      </c>
      <c r="C22" s="44"/>
      <c r="D22" s="47"/>
      <c r="E22" s="44"/>
      <c r="F22" s="50"/>
    </row>
    <row r="23" spans="1:16" ht="16.5" x14ac:dyDescent="0.25">
      <c r="A23" s="51" t="s">
        <v>10</v>
      </c>
      <c r="B23" s="7" t="s">
        <v>18</v>
      </c>
      <c r="C23" s="54">
        <v>310</v>
      </c>
      <c r="D23" s="57">
        <f xml:space="preserve"> (((1/5- 1/14) * 1092 * (1-0.25)) * 24 * 4834) / ($H$20 * 100067)</f>
        <v>156.51673378836179</v>
      </c>
      <c r="E23" s="54">
        <v>99</v>
      </c>
      <c r="F23" s="60">
        <f t="shared" ref="F23" si="2">E23/D23</f>
        <v>0.63252022709511335</v>
      </c>
    </row>
    <row r="24" spans="1:16" x14ac:dyDescent="0.25">
      <c r="A24" s="52"/>
      <c r="B24" s="7" t="s">
        <v>19</v>
      </c>
      <c r="C24" s="55"/>
      <c r="D24" s="58"/>
      <c r="E24" s="55"/>
      <c r="F24" s="61"/>
    </row>
    <row r="25" spans="1:16" ht="15.75" thickBot="1" x14ac:dyDescent="0.3">
      <c r="A25" s="53"/>
      <c r="B25" s="8" t="s">
        <v>20</v>
      </c>
      <c r="C25" s="56"/>
      <c r="D25" s="59"/>
      <c r="E25" s="56"/>
      <c r="F25" s="62"/>
    </row>
    <row r="26" spans="1:16" ht="16.5" x14ac:dyDescent="0.25">
      <c r="A26" s="39" t="s">
        <v>13</v>
      </c>
      <c r="B26" s="5" t="s">
        <v>21</v>
      </c>
      <c r="C26" s="42">
        <v>545</v>
      </c>
      <c r="D26" s="45">
        <f xml:space="preserve"> (((1/9.4 - 1/36.9) * 955 * (1-0.07)) * 24 * 4834) / ($H$20 * 100067)</f>
        <v>104.6639689228397</v>
      </c>
      <c r="E26" s="42">
        <v>77</v>
      </c>
      <c r="F26" s="48">
        <f t="shared" ref="F26" si="3">E26/D26</f>
        <v>0.73568775188303714</v>
      </c>
    </row>
    <row r="27" spans="1:16" x14ac:dyDescent="0.25">
      <c r="A27" s="40"/>
      <c r="B27" s="5" t="s">
        <v>22</v>
      </c>
      <c r="C27" s="43"/>
      <c r="D27" s="46"/>
      <c r="E27" s="43"/>
      <c r="F27" s="49"/>
    </row>
    <row r="28" spans="1:16" ht="15.75" thickBot="1" x14ac:dyDescent="0.3">
      <c r="A28" s="41"/>
      <c r="B28" s="6" t="s">
        <v>23</v>
      </c>
      <c r="C28" s="44"/>
      <c r="D28" s="47"/>
      <c r="E28" s="44"/>
      <c r="F28" s="50"/>
      <c r="J28" s="20"/>
      <c r="N28" s="19"/>
      <c r="O28" s="19"/>
      <c r="P28" s="19"/>
    </row>
    <row r="30" spans="1:16" ht="14.45" customHeight="1" x14ac:dyDescent="0.25">
      <c r="C30" s="12"/>
      <c r="D30" s="13" t="s">
        <v>30</v>
      </c>
      <c r="E30" s="13" t="s">
        <v>31</v>
      </c>
    </row>
    <row r="31" spans="1:16" x14ac:dyDescent="0.25">
      <c r="C31" s="12" t="s">
        <v>27</v>
      </c>
      <c r="D31" s="14">
        <f>F3</f>
        <v>0.70153992494352468</v>
      </c>
      <c r="E31" s="14">
        <f>F20</f>
        <v>0.87508276041488586</v>
      </c>
    </row>
    <row r="32" spans="1:16" ht="14.45" customHeight="1" x14ac:dyDescent="0.25">
      <c r="C32" s="12" t="s">
        <v>28</v>
      </c>
      <c r="D32" s="14">
        <f>F6</f>
        <v>0.62752901118489524</v>
      </c>
      <c r="E32" s="14">
        <f>F23</f>
        <v>0.63252022709511335</v>
      </c>
      <c r="K32" s="21"/>
      <c r="L32" s="21"/>
      <c r="M32" s="21"/>
      <c r="N32" s="21"/>
      <c r="O32" s="21"/>
      <c r="P32" s="21"/>
    </row>
    <row r="33" spans="1:16" ht="14.45" customHeight="1" x14ac:dyDescent="0.25">
      <c r="C33" s="12" t="s">
        <v>29</v>
      </c>
      <c r="D33" s="14">
        <f>F9</f>
        <v>0.73944628957386216</v>
      </c>
      <c r="E33" s="14">
        <f>F26</f>
        <v>0.73568775188303714</v>
      </c>
      <c r="K33" s="19"/>
      <c r="L33" s="19"/>
      <c r="M33" s="19"/>
      <c r="N33" s="19"/>
      <c r="O33" s="19"/>
      <c r="P33" s="19"/>
    </row>
    <row r="35" spans="1:16" x14ac:dyDescent="0.25">
      <c r="A35" t="s">
        <v>27</v>
      </c>
    </row>
    <row r="36" spans="1:16" x14ac:dyDescent="0.25">
      <c r="A36" t="s">
        <v>70</v>
      </c>
    </row>
    <row r="38" spans="1:16" x14ac:dyDescent="0.25">
      <c r="B38" s="22" t="s">
        <v>71</v>
      </c>
    </row>
    <row r="40" spans="1:16" x14ac:dyDescent="0.25">
      <c r="F40" s="21"/>
    </row>
  </sheetData>
  <mergeCells count="33">
    <mergeCell ref="E9:E11"/>
    <mergeCell ref="F9:F11"/>
    <mergeCell ref="A3:A5"/>
    <mergeCell ref="C3:C5"/>
    <mergeCell ref="D3:D5"/>
    <mergeCell ref="E3:E5"/>
    <mergeCell ref="F3:F5"/>
    <mergeCell ref="A26:A28"/>
    <mergeCell ref="C26:C28"/>
    <mergeCell ref="D26:D28"/>
    <mergeCell ref="E26:E28"/>
    <mergeCell ref="F26:F28"/>
    <mergeCell ref="A23:A25"/>
    <mergeCell ref="C23:C25"/>
    <mergeCell ref="D23:D25"/>
    <mergeCell ref="E23:E25"/>
    <mergeCell ref="F23:F25"/>
    <mergeCell ref="K6:K7"/>
    <mergeCell ref="A20:A22"/>
    <mergeCell ref="C20:C22"/>
    <mergeCell ref="D20:D22"/>
    <mergeCell ref="E20:E22"/>
    <mergeCell ref="F20:F22"/>
    <mergeCell ref="A6:A8"/>
    <mergeCell ref="C6:C8"/>
    <mergeCell ref="D6:D8"/>
    <mergeCell ref="E6:E8"/>
    <mergeCell ref="F6:F8"/>
    <mergeCell ref="D12:D14"/>
    <mergeCell ref="F12:F14"/>
    <mergeCell ref="A9:A11"/>
    <mergeCell ref="C9:C11"/>
    <mergeCell ref="D9:D11"/>
  </mergeCells>
  <hyperlinks>
    <hyperlink ref="B2" location="_ftn1" display="_ftn1"/>
    <hyperlink ref="A15" location="_ftnref1" display="_ftnref1"/>
    <hyperlink ref="B19" location="_ftn1" display="_ftn1"/>
    <hyperlink ref="L7" location="_ftn1" display="_ftn1"/>
    <hyperlink ref="M7" location="_ftn2" display="_ftn2"/>
    <hyperlink ref="K27" location="_ftnref1" display="_ftnref1"/>
    <hyperlink ref="K28" location="_ftnref2" display="_ftnref2"/>
  </hyperlinks>
  <pageMargins left="0.7" right="0.7" top="0.75" bottom="0.75" header="0.3" footer="0.3"/>
  <pageSetup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7"/>
  <sheetViews>
    <sheetView workbookViewId="0">
      <selection activeCell="C2" sqref="C2:C17"/>
    </sheetView>
  </sheetViews>
  <sheetFormatPr defaultRowHeight="15" x14ac:dyDescent="0.25"/>
  <cols>
    <col min="2" max="2" width="30.7109375" customWidth="1"/>
  </cols>
  <sheetData>
    <row r="1" spans="2:3" x14ac:dyDescent="0.3">
      <c r="B1" t="s">
        <v>39</v>
      </c>
    </row>
    <row r="2" spans="2:3" x14ac:dyDescent="0.3">
      <c r="B2" t="s">
        <v>40</v>
      </c>
      <c r="C2" t="s">
        <v>66</v>
      </c>
    </row>
    <row r="3" spans="2:3" x14ac:dyDescent="0.3">
      <c r="B3" t="s">
        <v>41</v>
      </c>
      <c r="C3" t="s">
        <v>67</v>
      </c>
    </row>
    <row r="4" spans="2:3" x14ac:dyDescent="0.3">
      <c r="B4" t="s">
        <v>42</v>
      </c>
      <c r="C4" t="s">
        <v>62</v>
      </c>
    </row>
    <row r="5" spans="2:3" x14ac:dyDescent="0.3">
      <c r="B5" t="s">
        <v>43</v>
      </c>
      <c r="C5" t="s">
        <v>68</v>
      </c>
    </row>
    <row r="6" spans="2:3" x14ac:dyDescent="0.3">
      <c r="B6" t="s">
        <v>44</v>
      </c>
      <c r="C6" t="s">
        <v>69</v>
      </c>
    </row>
    <row r="7" spans="2:3" x14ac:dyDescent="0.3">
      <c r="B7" t="s">
        <v>45</v>
      </c>
      <c r="C7" t="s">
        <v>57</v>
      </c>
    </row>
    <row r="8" spans="2:3" x14ac:dyDescent="0.3">
      <c r="B8" t="s">
        <v>46</v>
      </c>
      <c r="C8" t="s">
        <v>56</v>
      </c>
    </row>
    <row r="9" spans="2:3" x14ac:dyDescent="0.25">
      <c r="B9" t="s">
        <v>47</v>
      </c>
      <c r="C9" t="s">
        <v>60</v>
      </c>
    </row>
    <row r="10" spans="2:3" x14ac:dyDescent="0.25">
      <c r="B10" t="s">
        <v>48</v>
      </c>
      <c r="C10" t="s">
        <v>61</v>
      </c>
    </row>
    <row r="11" spans="2:3" x14ac:dyDescent="0.25">
      <c r="B11" t="s">
        <v>49</v>
      </c>
      <c r="C11" t="s">
        <v>65</v>
      </c>
    </row>
    <row r="12" spans="2:3" x14ac:dyDescent="0.25">
      <c r="B12" t="s">
        <v>50</v>
      </c>
      <c r="C12" t="s">
        <v>56</v>
      </c>
    </row>
    <row r="13" spans="2:3" x14ac:dyDescent="0.25">
      <c r="B13" t="s">
        <v>51</v>
      </c>
      <c r="C13" t="s">
        <v>63</v>
      </c>
    </row>
    <row r="14" spans="2:3" x14ac:dyDescent="0.25">
      <c r="B14" t="s">
        <v>52</v>
      </c>
      <c r="C14" t="s">
        <v>58</v>
      </c>
    </row>
    <row r="15" spans="2:3" x14ac:dyDescent="0.25">
      <c r="B15" t="s">
        <v>53</v>
      </c>
      <c r="C15" t="s">
        <v>59</v>
      </c>
    </row>
    <row r="16" spans="2:3" x14ac:dyDescent="0.25">
      <c r="B16" t="s">
        <v>54</v>
      </c>
      <c r="C16" t="s">
        <v>61</v>
      </c>
    </row>
    <row r="17" spans="2:3" x14ac:dyDescent="0.25">
      <c r="B17" t="s">
        <v>55</v>
      </c>
      <c r="C17" t="s">
        <v>64</v>
      </c>
    </row>
  </sheetData>
  <sortState ref="B2:B188">
    <sortCondition ref="B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2"/>
  <sheetViews>
    <sheetView workbookViewId="0">
      <selection activeCell="O12" sqref="O12"/>
    </sheetView>
  </sheetViews>
  <sheetFormatPr defaultRowHeight="15" x14ac:dyDescent="0.25"/>
  <cols>
    <col min="1" max="1" width="22.140625" customWidth="1"/>
    <col min="2" max="2" width="17.85546875" customWidth="1"/>
    <col min="3" max="6" width="17.140625" customWidth="1"/>
    <col min="11" max="11" width="17" customWidth="1"/>
    <col min="12" max="16" width="10.5703125" bestFit="1" customWidth="1"/>
  </cols>
  <sheetData>
    <row r="1" spans="1:15" ht="36.75" customHeight="1" x14ac:dyDescent="0.25">
      <c r="A1" s="66" t="s">
        <v>91</v>
      </c>
      <c r="B1" s="66"/>
      <c r="C1" s="66"/>
      <c r="D1" s="66"/>
      <c r="E1" s="66"/>
      <c r="F1" s="66"/>
      <c r="G1" s="66"/>
      <c r="H1" s="66"/>
      <c r="I1" s="66"/>
      <c r="J1" s="66"/>
      <c r="K1" s="66"/>
    </row>
    <row r="3" spans="1:15" ht="15.75" thickBot="1" x14ac:dyDescent="0.3">
      <c r="A3" t="s">
        <v>32</v>
      </c>
      <c r="B3" t="s">
        <v>33</v>
      </c>
      <c r="C3" t="s">
        <v>34</v>
      </c>
    </row>
    <row r="4" spans="1:15" ht="30.75" thickBot="1" x14ac:dyDescent="0.3">
      <c r="A4" s="1" t="s">
        <v>0</v>
      </c>
      <c r="B4" s="3" t="s">
        <v>1</v>
      </c>
      <c r="C4" s="2" t="s">
        <v>2</v>
      </c>
      <c r="D4" s="2" t="s">
        <v>82</v>
      </c>
      <c r="E4" s="2" t="s">
        <v>81</v>
      </c>
      <c r="F4" s="4" t="s">
        <v>25</v>
      </c>
    </row>
    <row r="5" spans="1:15" ht="60" x14ac:dyDescent="0.25">
      <c r="A5" s="39" t="s">
        <v>6</v>
      </c>
      <c r="B5" s="25" t="s">
        <v>76</v>
      </c>
      <c r="C5" s="42">
        <v>0</v>
      </c>
      <c r="D5" s="45">
        <f>((((1/6.9-1/25.5)*0.25*162*1)+((1/(6.9+8.46)-1/(25.5+8.46))*0.75*162))*24*N19)/($H$6*3412)</f>
        <v>233.91513650856811</v>
      </c>
      <c r="E5" s="42">
        <v>37</v>
      </c>
      <c r="F5" s="48">
        <f>E5/D5</f>
        <v>0.15817702330966821</v>
      </c>
      <c r="H5" s="27" t="s">
        <v>90</v>
      </c>
    </row>
    <row r="6" spans="1:15" x14ac:dyDescent="0.25">
      <c r="A6" s="40"/>
      <c r="B6" s="25" t="s">
        <v>79</v>
      </c>
      <c r="C6" s="43"/>
      <c r="D6" s="46"/>
      <c r="E6" s="43"/>
      <c r="F6" s="49"/>
      <c r="H6">
        <v>1</v>
      </c>
    </row>
    <row r="7" spans="1:15" ht="15.75" thickBot="1" x14ac:dyDescent="0.3">
      <c r="A7" s="41"/>
      <c r="B7" s="26" t="s">
        <v>80</v>
      </c>
      <c r="C7" s="44"/>
      <c r="D7" s="47"/>
      <c r="E7" s="44"/>
      <c r="F7" s="50"/>
    </row>
    <row r="8" spans="1:15" ht="26.25" thickBot="1" x14ac:dyDescent="0.3">
      <c r="A8" s="51" t="s">
        <v>10</v>
      </c>
      <c r="B8" s="23" t="s">
        <v>75</v>
      </c>
      <c r="C8" s="54">
        <v>6</v>
      </c>
      <c r="D8" s="57">
        <f xml:space="preserve"> (((1/5 - 1/14.4) * 949 * (1-0.25)) * 24 * 4834) / ($H$6*3412)</f>
        <v>3159.5970398593199</v>
      </c>
      <c r="E8" s="54">
        <v>824</v>
      </c>
      <c r="F8" s="60">
        <f t="shared" ref="F8" si="0">E8/D8</f>
        <v>0.2607927497098454</v>
      </c>
      <c r="K8" s="37" t="s">
        <v>103</v>
      </c>
      <c r="L8" s="29" t="s">
        <v>104</v>
      </c>
      <c r="M8" s="30" t="s">
        <v>105</v>
      </c>
    </row>
    <row r="9" spans="1:15" ht="15.75" thickBot="1" x14ac:dyDescent="0.3">
      <c r="A9" s="52"/>
      <c r="B9" s="23" t="s">
        <v>12</v>
      </c>
      <c r="C9" s="55"/>
      <c r="D9" s="58"/>
      <c r="E9" s="55"/>
      <c r="F9" s="61"/>
      <c r="K9" s="38"/>
      <c r="L9" s="31" t="s">
        <v>106</v>
      </c>
      <c r="M9" s="32" t="s">
        <v>107</v>
      </c>
    </row>
    <row r="10" spans="1:15" ht="15.75" thickBot="1" x14ac:dyDescent="0.3">
      <c r="A10" s="53"/>
      <c r="B10" s="24" t="s">
        <v>26</v>
      </c>
      <c r="C10" s="56"/>
      <c r="D10" s="59"/>
      <c r="E10" s="56"/>
      <c r="F10" s="62"/>
      <c r="K10" s="33"/>
      <c r="L10" s="34"/>
      <c r="M10" s="35"/>
    </row>
    <row r="11" spans="1:15" ht="17.25" thickBot="1" x14ac:dyDescent="0.3">
      <c r="A11" s="39" t="s">
        <v>13</v>
      </c>
      <c r="B11" s="25" t="s">
        <v>74</v>
      </c>
      <c r="C11" s="42">
        <v>23</v>
      </c>
      <c r="D11" s="45">
        <f xml:space="preserve"> (((1/8 - 1/26.7) * 905 * (1-0.07)) * 24 * 4834) / ($H$6*3412)</f>
        <v>2505.4212188969527</v>
      </c>
      <c r="E11" s="42">
        <v>1071</v>
      </c>
      <c r="F11" s="48">
        <f t="shared" ref="F11" si="1">E11/D11</f>
        <v>0.42747303005261644</v>
      </c>
      <c r="K11" s="33"/>
      <c r="L11" s="34"/>
      <c r="M11" s="35"/>
    </row>
    <row r="12" spans="1:15" ht="26.25" thickBot="1" x14ac:dyDescent="0.3">
      <c r="A12" s="40"/>
      <c r="B12" s="25" t="s">
        <v>72</v>
      </c>
      <c r="C12" s="43"/>
      <c r="D12" s="46"/>
      <c r="E12" s="43"/>
      <c r="F12" s="49"/>
      <c r="K12" s="67" t="s">
        <v>111</v>
      </c>
      <c r="L12" s="68">
        <v>3782</v>
      </c>
      <c r="M12" s="35">
        <v>2259</v>
      </c>
      <c r="O12" s="19">
        <f>M12/L12</f>
        <v>0.59730301427815968</v>
      </c>
    </row>
    <row r="13" spans="1:15" ht="15.75" thickBot="1" x14ac:dyDescent="0.3">
      <c r="A13" s="41"/>
      <c r="B13" s="26" t="s">
        <v>73</v>
      </c>
      <c r="C13" s="44"/>
      <c r="D13" s="47"/>
      <c r="E13" s="44"/>
      <c r="F13" s="50"/>
    </row>
    <row r="14" spans="1:15" ht="16.5" x14ac:dyDescent="0.25">
      <c r="A14" s="15"/>
      <c r="B14" s="16" t="s">
        <v>78</v>
      </c>
      <c r="C14" s="17"/>
      <c r="D14" s="63">
        <f xml:space="preserve"> (((1/11 - 1/23.3) * 647 * (1-0.12)) * 24 * M17) / ($H$6*3412)</f>
        <v>554.94127772559511</v>
      </c>
      <c r="E14" s="17"/>
      <c r="F14" s="60">
        <f>E15/D14</f>
        <v>5.4059773897075766E-2</v>
      </c>
    </row>
    <row r="15" spans="1:15" x14ac:dyDescent="0.25">
      <c r="A15" s="15" t="s">
        <v>36</v>
      </c>
      <c r="B15" s="16" t="s">
        <v>77</v>
      </c>
      <c r="C15" s="17">
        <v>7</v>
      </c>
      <c r="D15" s="64"/>
      <c r="E15" s="17">
        <v>30</v>
      </c>
      <c r="F15" s="61"/>
    </row>
    <row r="16" spans="1:15" ht="15.75" thickBot="1" x14ac:dyDescent="0.3">
      <c r="A16" s="15"/>
      <c r="B16" s="18" t="s">
        <v>37</v>
      </c>
      <c r="C16" s="17"/>
      <c r="D16" s="65"/>
      <c r="E16" s="17"/>
      <c r="F16" s="62"/>
      <c r="L16" t="s">
        <v>109</v>
      </c>
      <c r="M16" t="s">
        <v>110</v>
      </c>
    </row>
    <row r="17" spans="1:16" x14ac:dyDescent="0.25">
      <c r="A17" s="9" t="s">
        <v>88</v>
      </c>
      <c r="K17" t="s">
        <v>108</v>
      </c>
      <c r="L17" s="11">
        <v>4834</v>
      </c>
      <c r="M17">
        <f>L17*O12</f>
        <v>2887.3627710206238</v>
      </c>
    </row>
    <row r="18" spans="1:16" x14ac:dyDescent="0.25">
      <c r="K18" s="10"/>
    </row>
    <row r="19" spans="1:16" x14ac:dyDescent="0.25">
      <c r="K19" t="s">
        <v>24</v>
      </c>
      <c r="N19">
        <f>(L17*0.5)+(M17*0.5)</f>
        <v>3860.6813855103119</v>
      </c>
    </row>
    <row r="20" spans="1:16" ht="15" customHeight="1" thickBot="1" x14ac:dyDescent="0.3">
      <c r="A20" t="s">
        <v>31</v>
      </c>
      <c r="B20" t="s">
        <v>33</v>
      </c>
      <c r="C20" t="s">
        <v>35</v>
      </c>
      <c r="H20" s="27" t="s">
        <v>90</v>
      </c>
    </row>
    <row r="21" spans="1:16" ht="45.6" customHeight="1" thickBot="1" x14ac:dyDescent="0.3">
      <c r="A21" s="1" t="s">
        <v>0</v>
      </c>
      <c r="B21" s="3" t="s">
        <v>1</v>
      </c>
      <c r="C21" s="2" t="s">
        <v>2</v>
      </c>
      <c r="D21" s="2" t="s">
        <v>82</v>
      </c>
      <c r="E21" s="2" t="s">
        <v>81</v>
      </c>
      <c r="F21" s="4" t="s">
        <v>5</v>
      </c>
      <c r="H21">
        <v>1.1000000000000001</v>
      </c>
    </row>
    <row r="22" spans="1:16" ht="16.5" x14ac:dyDescent="0.25">
      <c r="A22" s="39" t="s">
        <v>6</v>
      </c>
      <c r="B22" s="25" t="s">
        <v>83</v>
      </c>
      <c r="C22" s="42">
        <v>23</v>
      </c>
      <c r="D22" s="45">
        <f>((((1/6.9-1/25.5)*0.25*282*1)+((1/(6.9+8.46)-1/(25.5+8.46))*0.75*282))*24*N19)/($H$21*3412)</f>
        <v>370.16873454217853</v>
      </c>
      <c r="E22" s="42">
        <v>99</v>
      </c>
      <c r="F22" s="48">
        <f>E22/D22</f>
        <v>0.26744560186165461</v>
      </c>
    </row>
    <row r="23" spans="1:16" x14ac:dyDescent="0.25">
      <c r="A23" s="40"/>
      <c r="B23" s="25" t="s">
        <v>79</v>
      </c>
      <c r="C23" s="43"/>
      <c r="D23" s="46"/>
      <c r="E23" s="43"/>
      <c r="F23" s="49"/>
    </row>
    <row r="24" spans="1:16" ht="15.75" thickBot="1" x14ac:dyDescent="0.3">
      <c r="A24" s="41"/>
      <c r="B24" s="26" t="s">
        <v>80</v>
      </c>
      <c r="C24" s="44"/>
      <c r="D24" s="47"/>
      <c r="E24" s="44"/>
      <c r="F24" s="50"/>
    </row>
    <row r="25" spans="1:16" ht="16.5" x14ac:dyDescent="0.25">
      <c r="A25" s="51" t="s">
        <v>10</v>
      </c>
      <c r="B25" s="23" t="s">
        <v>86</v>
      </c>
      <c r="C25" s="54">
        <v>18</v>
      </c>
      <c r="D25" s="57">
        <f xml:space="preserve"> (((1/5- 1/14) * 744 * (1-0.25)) * 24 * 4834) / ($H$21*3412)</f>
        <v>2217.659414442533</v>
      </c>
      <c r="E25" s="54">
        <v>972</v>
      </c>
      <c r="F25" s="60">
        <f t="shared" ref="F25" si="2">E25/D25</f>
        <v>0.43829994528007254</v>
      </c>
    </row>
    <row r="26" spans="1:16" x14ac:dyDescent="0.25">
      <c r="A26" s="52"/>
      <c r="B26" s="23" t="s">
        <v>19</v>
      </c>
      <c r="C26" s="55"/>
      <c r="D26" s="58"/>
      <c r="E26" s="55"/>
      <c r="F26" s="61"/>
    </row>
    <row r="27" spans="1:16" ht="15.75" thickBot="1" x14ac:dyDescent="0.3">
      <c r="A27" s="53"/>
      <c r="B27" s="24" t="s">
        <v>20</v>
      </c>
      <c r="C27" s="56"/>
      <c r="D27" s="59"/>
      <c r="E27" s="56"/>
      <c r="F27" s="62"/>
    </row>
    <row r="28" spans="1:16" ht="16.5" x14ac:dyDescent="0.25">
      <c r="A28" s="39" t="s">
        <v>13</v>
      </c>
      <c r="B28" s="25" t="s">
        <v>87</v>
      </c>
      <c r="C28" s="42">
        <v>106</v>
      </c>
      <c r="D28" s="45">
        <f xml:space="preserve"> (((1/13.9 - 1/41.8) * 929 * (1-0.07)) * 24 * 4834) / ($H$21*3412)</f>
        <v>1282.4131536944035</v>
      </c>
      <c r="E28" s="42">
        <v>793</v>
      </c>
      <c r="F28" s="48">
        <f t="shared" ref="F28" si="3">E28/D28</f>
        <v>0.61836546023838612</v>
      </c>
    </row>
    <row r="29" spans="1:16" x14ac:dyDescent="0.25">
      <c r="A29" s="40"/>
      <c r="B29" s="25" t="s">
        <v>84</v>
      </c>
      <c r="C29" s="43"/>
      <c r="D29" s="46"/>
      <c r="E29" s="43"/>
      <c r="F29" s="49"/>
    </row>
    <row r="30" spans="1:16" ht="15.75" thickBot="1" x14ac:dyDescent="0.3">
      <c r="A30" s="41"/>
      <c r="B30" s="26" t="s">
        <v>85</v>
      </c>
      <c r="C30" s="44"/>
      <c r="D30" s="47"/>
      <c r="E30" s="44"/>
      <c r="F30" s="50"/>
      <c r="J30" s="20"/>
      <c r="K30" s="19"/>
      <c r="L30" s="19"/>
      <c r="M30" s="19"/>
      <c r="N30" s="19"/>
      <c r="O30" s="19"/>
      <c r="P30" s="19"/>
    </row>
    <row r="32" spans="1:16" ht="14.45" customHeight="1" x14ac:dyDescent="0.25">
      <c r="C32" s="12"/>
      <c r="D32" s="13" t="s">
        <v>30</v>
      </c>
      <c r="E32" s="13" t="s">
        <v>31</v>
      </c>
    </row>
    <row r="33" spans="1:16" x14ac:dyDescent="0.25">
      <c r="C33" s="12" t="s">
        <v>27</v>
      </c>
      <c r="D33" s="14">
        <f>F5</f>
        <v>0.15817702330966821</v>
      </c>
      <c r="E33" s="14">
        <f>F22</f>
        <v>0.26744560186165461</v>
      </c>
    </row>
    <row r="34" spans="1:16" ht="14.45" customHeight="1" x14ac:dyDescent="0.25">
      <c r="C34" s="12" t="s">
        <v>28</v>
      </c>
      <c r="D34" s="14">
        <f>F8</f>
        <v>0.2607927497098454</v>
      </c>
      <c r="E34" s="14">
        <f>F25</f>
        <v>0.43829994528007254</v>
      </c>
      <c r="K34" s="21"/>
      <c r="L34" s="21"/>
      <c r="M34" s="21"/>
      <c r="N34" s="21"/>
      <c r="O34" s="21"/>
      <c r="P34" s="21"/>
    </row>
    <row r="35" spans="1:16" ht="14.45" customHeight="1" x14ac:dyDescent="0.25">
      <c r="C35" s="12" t="s">
        <v>29</v>
      </c>
      <c r="D35" s="14">
        <f>F11</f>
        <v>0.42747303005261644</v>
      </c>
      <c r="E35" s="14">
        <f>F28</f>
        <v>0.61836546023838612</v>
      </c>
      <c r="K35" s="19"/>
      <c r="L35" s="19"/>
      <c r="M35" s="19"/>
      <c r="N35" s="19"/>
      <c r="O35" s="19"/>
      <c r="P35" s="19"/>
    </row>
    <row r="37" spans="1:16" x14ac:dyDescent="0.25">
      <c r="A37" t="s">
        <v>27</v>
      </c>
    </row>
    <row r="38" spans="1:16" x14ac:dyDescent="0.25">
      <c r="A38" t="s">
        <v>70</v>
      </c>
    </row>
    <row r="40" spans="1:16" x14ac:dyDescent="0.25">
      <c r="B40" s="22" t="s">
        <v>71</v>
      </c>
    </row>
    <row r="42" spans="1:16" x14ac:dyDescent="0.25">
      <c r="F42" s="21"/>
    </row>
  </sheetData>
  <mergeCells count="34">
    <mergeCell ref="C22:C24"/>
    <mergeCell ref="D22:D24"/>
    <mergeCell ref="E22:E24"/>
    <mergeCell ref="A11:A13"/>
    <mergeCell ref="C11:C13"/>
    <mergeCell ref="D11:D13"/>
    <mergeCell ref="A1:K1"/>
    <mergeCell ref="A28:A30"/>
    <mergeCell ref="C28:C30"/>
    <mergeCell ref="D28:D30"/>
    <mergeCell ref="E28:E30"/>
    <mergeCell ref="F28:F30"/>
    <mergeCell ref="F11:F13"/>
    <mergeCell ref="A25:A27"/>
    <mergeCell ref="C25:C27"/>
    <mergeCell ref="D25:D27"/>
    <mergeCell ref="E25:E27"/>
    <mergeCell ref="F25:F27"/>
    <mergeCell ref="A22:A24"/>
    <mergeCell ref="A8:A10"/>
    <mergeCell ref="C8:C10"/>
    <mergeCell ref="D8:D10"/>
    <mergeCell ref="E8:E10"/>
    <mergeCell ref="F8:F10"/>
    <mergeCell ref="A5:A7"/>
    <mergeCell ref="C5:C7"/>
    <mergeCell ref="D5:D7"/>
    <mergeCell ref="E5:E7"/>
    <mergeCell ref="F5:F7"/>
    <mergeCell ref="E11:E13"/>
    <mergeCell ref="K8:K9"/>
    <mergeCell ref="F22:F24"/>
    <mergeCell ref="D14:D16"/>
    <mergeCell ref="F14:F16"/>
  </mergeCells>
  <hyperlinks>
    <hyperlink ref="B4" location="_ftn1" display="_ftn1"/>
    <hyperlink ref="A17" location="_ftnref1" display="_ftnref1"/>
    <hyperlink ref="B21" location="_ftn1" display="_ftn1"/>
    <hyperlink ref="L9" location="_ftn1" display="_ftn1"/>
    <hyperlink ref="M9" location="_ftn2" display="_ftn2"/>
  </hyperlinks>
  <pageMargins left="0.7" right="0.7" top="0.75" bottom="0.75" header="0.3" footer="0.3"/>
  <pageSetup orientation="portrait"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3A2ECC659B7C48AB0AD61B3802BD54" ma:contentTypeVersion="0" ma:contentTypeDescription="Create a new document." ma:contentTypeScope="" ma:versionID="487f792cfc71e9ac117cc3d1b24b1a8f">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3E8B90-6585-4F80-AACE-70E48B1038ED}"/>
</file>

<file path=customXml/itemProps2.xml><?xml version="1.0" encoding="utf-8"?>
<ds:datastoreItem xmlns:ds="http://schemas.openxmlformats.org/officeDocument/2006/customXml" ds:itemID="{9D12B7A4-906A-484E-9A55-6EBB6AE42F8A}"/>
</file>

<file path=customXml/itemProps3.xml><?xml version="1.0" encoding="utf-8"?>
<ds:datastoreItem xmlns:ds="http://schemas.openxmlformats.org/officeDocument/2006/customXml" ds:itemID="{9722E1DF-222A-4636-9F8C-DEFF4390DE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Analysis Explanation</vt:lpstr>
      <vt:lpstr>Gas Model</vt:lpstr>
      <vt:lpstr>MA Model</vt:lpstr>
      <vt:lpstr>Electric Model</vt:lpstr>
      <vt:lpstr>'Gas Model'!_ftn1</vt:lpstr>
      <vt:lpstr>'Gas Model'!_ftn2</vt:lpstr>
      <vt:lpstr>'Gas Model'!_ftnref1</vt:lpstr>
      <vt:lpstr>'Gas Model'!_ftnref2</vt:lpstr>
    </vt:vector>
  </TitlesOfParts>
  <Company>VEIC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Dent</dc:creator>
  <cp:lastModifiedBy>Bradley D. Williams</cp:lastModifiedBy>
  <dcterms:created xsi:type="dcterms:W3CDTF">2014-01-02T10:02:29Z</dcterms:created>
  <dcterms:modified xsi:type="dcterms:W3CDTF">2016-11-15T17:29:29Z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0x010100083A2ECC659B7C48AB0AD61B3802BD54</vt:lpwstr>
  </property>
</Properties>
</file>