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Consulting\Missouri_TRM\TRM Measures\Measures - Lighting\LED Srew Based Omnidirectional Bulb Res\Reference Documents\"/>
    </mc:Choice>
  </mc:AlternateContent>
  <bookViews>
    <workbookView xWindow="240" yWindow="90" windowWidth="19980" windowHeight="6795" activeTab="2"/>
  </bookViews>
  <sheets>
    <sheet name="Sheet2" sheetId="2" r:id="rId1"/>
    <sheet name="Omni O&amp;M Calc &lt;15W" sheetId="3" r:id="rId2"/>
    <sheet name="Omni O&amp;M Calc &gt;15W" sheetId="4" r:id="rId3"/>
  </sheets>
  <definedNames>
    <definedName name="_ftn1" localSheetId="0">Sheet2!$I$5</definedName>
    <definedName name="_ftnref1" localSheetId="0">Sheet2!$I$2</definedName>
    <definedName name="RDR" localSheetId="1">'Omni O&amp;M Calc &lt;15W'!$B$14</definedName>
    <definedName name="RDR" localSheetId="2">'Omni O&amp;M Calc &gt;15W'!$B$14</definedName>
  </definedNames>
  <calcPr calcId="152511"/>
</workbook>
</file>

<file path=xl/calcChain.xml><?xml version="1.0" encoding="utf-8"?>
<calcChain xmlns="http://schemas.openxmlformats.org/spreadsheetml/2006/main">
  <c r="B155" i="4" l="1"/>
  <c r="B138" i="4"/>
  <c r="B121" i="4"/>
  <c r="B101" i="4"/>
  <c r="B84" i="4"/>
  <c r="B67" i="4"/>
  <c r="B48" i="4"/>
  <c r="B31" i="4"/>
  <c r="B14" i="4"/>
  <c r="N136" i="3"/>
  <c r="B155" i="3"/>
  <c r="B138" i="3"/>
  <c r="B121" i="3"/>
  <c r="B101" i="3"/>
  <c r="B84" i="3"/>
  <c r="B67" i="3"/>
  <c r="B48" i="3"/>
  <c r="N46" i="3"/>
  <c r="N29" i="3"/>
  <c r="B31" i="3"/>
  <c r="B14" i="3"/>
  <c r="I31" i="4" l="1"/>
  <c r="I48" i="4" s="1"/>
  <c r="I67" i="4" s="1"/>
  <c r="I84" i="4" s="1"/>
  <c r="I101" i="4" s="1"/>
  <c r="I121" i="4" s="1"/>
  <c r="I138" i="4" s="1"/>
  <c r="I155" i="4" s="1"/>
  <c r="I13" i="4"/>
  <c r="I30" i="4" s="1"/>
  <c r="I47" i="4" s="1"/>
  <c r="I66" i="4" s="1"/>
  <c r="I83" i="4" s="1"/>
  <c r="I100" i="4" s="1"/>
  <c r="I120" i="4" s="1"/>
  <c r="I137" i="4" s="1"/>
  <c r="I154" i="4" s="1"/>
  <c r="I48" i="3"/>
  <c r="I67" i="3" s="1"/>
  <c r="I84" i="3" s="1"/>
  <c r="I101" i="3" s="1"/>
  <c r="I121" i="3" s="1"/>
  <c r="I138" i="3" s="1"/>
  <c r="I155" i="3" s="1"/>
  <c r="I31" i="3"/>
  <c r="I13" i="3"/>
  <c r="I30" i="3" s="1"/>
  <c r="I47" i="3" s="1"/>
  <c r="I66" i="3" s="1"/>
  <c r="I83" i="3" s="1"/>
  <c r="I100" i="3" s="1"/>
  <c r="I120" i="3" s="1"/>
  <c r="I137" i="3" s="1"/>
  <c r="I154" i="3" s="1"/>
  <c r="I32" i="3" l="1"/>
  <c r="J162" i="4" l="1"/>
  <c r="K162" i="4" s="1"/>
  <c r="J161" i="4"/>
  <c r="J160" i="4"/>
  <c r="K160" i="4" s="1"/>
  <c r="L160" i="4" s="1"/>
  <c r="M160" i="4" s="1"/>
  <c r="D159" i="4"/>
  <c r="E159" i="4" s="1"/>
  <c r="F159" i="4" s="1"/>
  <c r="G159" i="4" s="1"/>
  <c r="H159" i="4" s="1"/>
  <c r="I159" i="4" s="1"/>
  <c r="J159" i="4" s="1"/>
  <c r="K159" i="4" s="1"/>
  <c r="L159" i="4" s="1"/>
  <c r="M159" i="4" s="1"/>
  <c r="N153" i="4"/>
  <c r="J145" i="4"/>
  <c r="K145" i="4" s="1"/>
  <c r="J144" i="4"/>
  <c r="F144" i="4"/>
  <c r="J143" i="4"/>
  <c r="K143" i="4" s="1"/>
  <c r="L143" i="4" s="1"/>
  <c r="M143" i="4" s="1"/>
  <c r="D142" i="4"/>
  <c r="E142" i="4" s="1"/>
  <c r="F142" i="4" s="1"/>
  <c r="G142" i="4" s="1"/>
  <c r="H142" i="4" s="1"/>
  <c r="I142" i="4" s="1"/>
  <c r="J142" i="4" s="1"/>
  <c r="K142" i="4" s="1"/>
  <c r="L142" i="4" s="1"/>
  <c r="M142" i="4" s="1"/>
  <c r="J138" i="4"/>
  <c r="J155" i="4" s="1"/>
  <c r="J156" i="4" s="1"/>
  <c r="I156" i="4"/>
  <c r="J128" i="4"/>
  <c r="K128" i="4" s="1"/>
  <c r="J127" i="4"/>
  <c r="K127" i="4" s="1"/>
  <c r="G127" i="4"/>
  <c r="F127" i="4"/>
  <c r="K126" i="4"/>
  <c r="L126" i="4" s="1"/>
  <c r="M126" i="4" s="1"/>
  <c r="J126" i="4"/>
  <c r="D125" i="4"/>
  <c r="E125" i="4" s="1"/>
  <c r="F125" i="4" s="1"/>
  <c r="G125" i="4" s="1"/>
  <c r="H125" i="4" s="1"/>
  <c r="I125" i="4" s="1"/>
  <c r="J125" i="4" s="1"/>
  <c r="K125" i="4" s="1"/>
  <c r="L125" i="4" s="1"/>
  <c r="M125" i="4" s="1"/>
  <c r="J122" i="4"/>
  <c r="I122" i="4"/>
  <c r="J108" i="4"/>
  <c r="K108" i="4" s="1"/>
  <c r="J107" i="4"/>
  <c r="K107" i="4" s="1"/>
  <c r="J106" i="4"/>
  <c r="K106" i="4" s="1"/>
  <c r="D105" i="4"/>
  <c r="E105" i="4" s="1"/>
  <c r="F105" i="4" s="1"/>
  <c r="G105" i="4" s="1"/>
  <c r="H105" i="4" s="1"/>
  <c r="I105" i="4" s="1"/>
  <c r="J105" i="4" s="1"/>
  <c r="K105" i="4" s="1"/>
  <c r="N99" i="4"/>
  <c r="J91" i="4"/>
  <c r="K91" i="4" s="1"/>
  <c r="J90" i="4"/>
  <c r="F90" i="4"/>
  <c r="J89" i="4"/>
  <c r="K89" i="4" s="1"/>
  <c r="D88" i="4"/>
  <c r="E88" i="4" s="1"/>
  <c r="F88" i="4" s="1"/>
  <c r="G88" i="4" s="1"/>
  <c r="H88" i="4" s="1"/>
  <c r="I88" i="4" s="1"/>
  <c r="J88" i="4" s="1"/>
  <c r="K88" i="4" s="1"/>
  <c r="J84" i="4"/>
  <c r="J101" i="4" s="1"/>
  <c r="J102" i="4" s="1"/>
  <c r="I102" i="4"/>
  <c r="J74" i="4"/>
  <c r="K74" i="4" s="1"/>
  <c r="J73" i="4"/>
  <c r="G73" i="4"/>
  <c r="F73" i="4"/>
  <c r="J72" i="4"/>
  <c r="K72" i="4" s="1"/>
  <c r="F71" i="4"/>
  <c r="G71" i="4" s="1"/>
  <c r="H71" i="4" s="1"/>
  <c r="I71" i="4" s="1"/>
  <c r="J71" i="4" s="1"/>
  <c r="K71" i="4" s="1"/>
  <c r="D71" i="4"/>
  <c r="E71" i="4" s="1"/>
  <c r="J68" i="4"/>
  <c r="I68" i="4"/>
  <c r="J55" i="4"/>
  <c r="K55" i="4" s="1"/>
  <c r="J54" i="4"/>
  <c r="J53" i="4"/>
  <c r="K53" i="4" s="1"/>
  <c r="L53" i="4" s="1"/>
  <c r="M53" i="4" s="1"/>
  <c r="D52" i="4"/>
  <c r="E52" i="4" s="1"/>
  <c r="F52" i="4" s="1"/>
  <c r="G52" i="4" s="1"/>
  <c r="H52" i="4" s="1"/>
  <c r="I52" i="4" s="1"/>
  <c r="J52" i="4" s="1"/>
  <c r="K52" i="4" s="1"/>
  <c r="L52" i="4" s="1"/>
  <c r="M52" i="4" s="1"/>
  <c r="J38" i="4"/>
  <c r="K38" i="4" s="1"/>
  <c r="J37" i="4"/>
  <c r="F37" i="4"/>
  <c r="J36" i="4"/>
  <c r="K36" i="4" s="1"/>
  <c r="L36" i="4" s="1"/>
  <c r="M36" i="4" s="1"/>
  <c r="D35" i="4"/>
  <c r="E35" i="4" s="1"/>
  <c r="F35" i="4" s="1"/>
  <c r="G35" i="4" s="1"/>
  <c r="H35" i="4" s="1"/>
  <c r="I35" i="4" s="1"/>
  <c r="J35" i="4" s="1"/>
  <c r="K35" i="4" s="1"/>
  <c r="L35" i="4" s="1"/>
  <c r="M35" i="4" s="1"/>
  <c r="J31" i="4"/>
  <c r="J48" i="4" s="1"/>
  <c r="J49" i="4" s="1"/>
  <c r="I32" i="4"/>
  <c r="J21" i="4"/>
  <c r="K21" i="4" s="1"/>
  <c r="J20" i="4"/>
  <c r="K20" i="4" s="1"/>
  <c r="G20" i="4"/>
  <c r="F20" i="4"/>
  <c r="J19" i="4"/>
  <c r="K19" i="4" s="1"/>
  <c r="L19" i="4" s="1"/>
  <c r="M19" i="4" s="1"/>
  <c r="D18" i="4"/>
  <c r="E18" i="4" s="1"/>
  <c r="F18" i="4" s="1"/>
  <c r="G18" i="4" s="1"/>
  <c r="H18" i="4" s="1"/>
  <c r="I18" i="4" s="1"/>
  <c r="J18" i="4" s="1"/>
  <c r="K18" i="4" s="1"/>
  <c r="L18" i="4" s="1"/>
  <c r="M18" i="4" s="1"/>
  <c r="J15" i="4"/>
  <c r="I15" i="4"/>
  <c r="L131" i="4" l="1"/>
  <c r="G131" i="4"/>
  <c r="K131" i="4"/>
  <c r="J131" i="4"/>
  <c r="L165" i="4"/>
  <c r="F131" i="4"/>
  <c r="F77" i="4"/>
  <c r="G77" i="4"/>
  <c r="H111" i="4"/>
  <c r="G94" i="4"/>
  <c r="D111" i="4"/>
  <c r="M58" i="4"/>
  <c r="G24" i="4"/>
  <c r="K24" i="4"/>
  <c r="J41" i="4"/>
  <c r="I49" i="4"/>
  <c r="F41" i="4"/>
  <c r="D24" i="4"/>
  <c r="F24" i="4"/>
  <c r="H24" i="4"/>
  <c r="J24" i="4"/>
  <c r="L24" i="4"/>
  <c r="J32" i="4"/>
  <c r="E41" i="4"/>
  <c r="G41" i="4"/>
  <c r="I41" i="4"/>
  <c r="M41" i="4"/>
  <c r="J58" i="4"/>
  <c r="E58" i="4"/>
  <c r="I58" i="4"/>
  <c r="J77" i="4"/>
  <c r="K73" i="4"/>
  <c r="K77" i="4" s="1"/>
  <c r="J94" i="4"/>
  <c r="K90" i="4"/>
  <c r="K94" i="4" s="1"/>
  <c r="J148" i="4"/>
  <c r="K144" i="4"/>
  <c r="K148" i="4" s="1"/>
  <c r="L58" i="4"/>
  <c r="H58" i="4"/>
  <c r="F58" i="4"/>
  <c r="E24" i="4"/>
  <c r="I24" i="4"/>
  <c r="M24" i="4"/>
  <c r="K37" i="4"/>
  <c r="K41" i="4" s="1"/>
  <c r="D41" i="4"/>
  <c r="H41" i="4"/>
  <c r="L41" i="4"/>
  <c r="K54" i="4"/>
  <c r="K58" i="4" s="1"/>
  <c r="D58" i="4"/>
  <c r="G58" i="4"/>
  <c r="I111" i="4"/>
  <c r="G111" i="4"/>
  <c r="E111" i="4"/>
  <c r="H94" i="4"/>
  <c r="H77" i="4"/>
  <c r="D77" i="4"/>
  <c r="E77" i="4"/>
  <c r="I77" i="4"/>
  <c r="J85" i="4"/>
  <c r="F94" i="4"/>
  <c r="E94" i="4"/>
  <c r="I94" i="4"/>
  <c r="K111" i="4"/>
  <c r="F111" i="4"/>
  <c r="J111" i="4"/>
  <c r="D131" i="4"/>
  <c r="H131" i="4"/>
  <c r="J139" i="4"/>
  <c r="F148" i="4"/>
  <c r="J165" i="4"/>
  <c r="I85" i="4"/>
  <c r="D94" i="4" s="1"/>
  <c r="E131" i="4"/>
  <c r="I131" i="4"/>
  <c r="M131" i="4"/>
  <c r="I139" i="4"/>
  <c r="D148" i="4" s="1"/>
  <c r="H148" i="4"/>
  <c r="L148" i="4"/>
  <c r="E165" i="4"/>
  <c r="G165" i="4"/>
  <c r="I165" i="4"/>
  <c r="M165" i="4"/>
  <c r="E148" i="4"/>
  <c r="G148" i="4"/>
  <c r="I148" i="4"/>
  <c r="M148" i="4"/>
  <c r="K161" i="4"/>
  <c r="K165" i="4" s="1"/>
  <c r="D165" i="4"/>
  <c r="F165" i="4"/>
  <c r="H165" i="4"/>
  <c r="J122" i="3"/>
  <c r="I122" i="3"/>
  <c r="J162" i="3"/>
  <c r="K162" i="3" s="1"/>
  <c r="J161" i="3"/>
  <c r="J160" i="3"/>
  <c r="K160" i="3" s="1"/>
  <c r="L160" i="3" s="1"/>
  <c r="M160" i="3" s="1"/>
  <c r="D159" i="3"/>
  <c r="E159" i="3" s="1"/>
  <c r="F159" i="3" s="1"/>
  <c r="G159" i="3" s="1"/>
  <c r="H159" i="3" s="1"/>
  <c r="I159" i="3" s="1"/>
  <c r="J159" i="3" s="1"/>
  <c r="K159" i="3" s="1"/>
  <c r="L159" i="3" s="1"/>
  <c r="M159" i="3" s="1"/>
  <c r="N153" i="3"/>
  <c r="K145" i="3"/>
  <c r="J145" i="3"/>
  <c r="K144" i="3"/>
  <c r="J144" i="3"/>
  <c r="F144" i="3"/>
  <c r="J143" i="3"/>
  <c r="K143" i="3" s="1"/>
  <c r="L143" i="3" s="1"/>
  <c r="M143" i="3" s="1"/>
  <c r="D142" i="3"/>
  <c r="E142" i="3" s="1"/>
  <c r="F142" i="3" s="1"/>
  <c r="G142" i="3" s="1"/>
  <c r="H142" i="3" s="1"/>
  <c r="I142" i="3" s="1"/>
  <c r="J142" i="3" s="1"/>
  <c r="K142" i="3" s="1"/>
  <c r="L142" i="3" s="1"/>
  <c r="M142" i="3" s="1"/>
  <c r="J138" i="3"/>
  <c r="J155" i="3" s="1"/>
  <c r="J156" i="3" s="1"/>
  <c r="I156" i="3"/>
  <c r="J128" i="3"/>
  <c r="K128" i="3" s="1"/>
  <c r="J127" i="3"/>
  <c r="K127" i="3" s="1"/>
  <c r="G127" i="3"/>
  <c r="F127" i="3"/>
  <c r="J126" i="3"/>
  <c r="K126" i="3" s="1"/>
  <c r="L126" i="3" s="1"/>
  <c r="M126" i="3" s="1"/>
  <c r="D125" i="3"/>
  <c r="E125" i="3" s="1"/>
  <c r="F125" i="3" s="1"/>
  <c r="G125" i="3" s="1"/>
  <c r="H125" i="3" s="1"/>
  <c r="I125" i="3" s="1"/>
  <c r="J125" i="3" s="1"/>
  <c r="K125" i="3" s="1"/>
  <c r="L125" i="3" s="1"/>
  <c r="M125" i="3" s="1"/>
  <c r="J68" i="3"/>
  <c r="I68" i="3"/>
  <c r="N99" i="3"/>
  <c r="N82" i="3"/>
  <c r="J108" i="3"/>
  <c r="K108" i="3" s="1"/>
  <c r="J107" i="3"/>
  <c r="J106" i="3"/>
  <c r="K106" i="3" s="1"/>
  <c r="D105" i="3"/>
  <c r="E105" i="3" s="1"/>
  <c r="F105" i="3" s="1"/>
  <c r="G105" i="3" s="1"/>
  <c r="H105" i="3" s="1"/>
  <c r="I105" i="3" s="1"/>
  <c r="J105" i="3" s="1"/>
  <c r="K105" i="3" s="1"/>
  <c r="J91" i="3"/>
  <c r="J90" i="3"/>
  <c r="K90" i="3" s="1"/>
  <c r="F90" i="3"/>
  <c r="J89" i="3"/>
  <c r="K89" i="3" s="1"/>
  <c r="D88" i="3"/>
  <c r="E88" i="3" s="1"/>
  <c r="F88" i="3" s="1"/>
  <c r="G88" i="3" s="1"/>
  <c r="H88" i="3" s="1"/>
  <c r="I88" i="3" s="1"/>
  <c r="J88" i="3" s="1"/>
  <c r="K88" i="3" s="1"/>
  <c r="J84" i="3"/>
  <c r="J101" i="3" s="1"/>
  <c r="J102" i="3" s="1"/>
  <c r="I102" i="3"/>
  <c r="J74" i="3"/>
  <c r="J73" i="3"/>
  <c r="G73" i="3"/>
  <c r="F73" i="3"/>
  <c r="J72" i="3"/>
  <c r="K72" i="3" s="1"/>
  <c r="E71" i="3"/>
  <c r="F71" i="3" s="1"/>
  <c r="G71" i="3" s="1"/>
  <c r="H71" i="3" s="1"/>
  <c r="I71" i="3" s="1"/>
  <c r="J71" i="3" s="1"/>
  <c r="K71" i="3" s="1"/>
  <c r="D71" i="3"/>
  <c r="J55" i="3"/>
  <c r="K55" i="3" s="1"/>
  <c r="J54" i="3"/>
  <c r="J53" i="3"/>
  <c r="K53" i="3" s="1"/>
  <c r="L53" i="3" s="1"/>
  <c r="M53" i="3" s="1"/>
  <c r="D52" i="3"/>
  <c r="E52" i="3" s="1"/>
  <c r="F52" i="3" s="1"/>
  <c r="G52" i="3" s="1"/>
  <c r="H52" i="3" s="1"/>
  <c r="I52" i="3" s="1"/>
  <c r="J52" i="3" s="1"/>
  <c r="K52" i="3" s="1"/>
  <c r="L52" i="3" s="1"/>
  <c r="M52" i="3" s="1"/>
  <c r="J31" i="3"/>
  <c r="J48" i="3" s="1"/>
  <c r="J49" i="3" s="1"/>
  <c r="J38" i="3"/>
  <c r="K38" i="3" s="1"/>
  <c r="J37" i="3"/>
  <c r="K37" i="3" s="1"/>
  <c r="F37" i="3"/>
  <c r="J36" i="3"/>
  <c r="K36" i="3" s="1"/>
  <c r="L36" i="3" s="1"/>
  <c r="M36" i="3" s="1"/>
  <c r="D35" i="3"/>
  <c r="E35" i="3" s="1"/>
  <c r="F35" i="3" s="1"/>
  <c r="G35" i="3" s="1"/>
  <c r="H35" i="3" s="1"/>
  <c r="I35" i="3" s="1"/>
  <c r="J35" i="3" s="1"/>
  <c r="K35" i="3" s="1"/>
  <c r="L35" i="3" s="1"/>
  <c r="M35" i="3" s="1"/>
  <c r="J32" i="3"/>
  <c r="I15" i="3"/>
  <c r="J15" i="3"/>
  <c r="J21" i="3"/>
  <c r="K21" i="3" s="1"/>
  <c r="J20" i="3"/>
  <c r="K20" i="3" s="1"/>
  <c r="G20" i="3"/>
  <c r="F20" i="3"/>
  <c r="J19" i="3"/>
  <c r="K19" i="3" s="1"/>
  <c r="D18" i="3"/>
  <c r="K131" i="3" l="1"/>
  <c r="H58" i="3"/>
  <c r="G77" i="3"/>
  <c r="G131" i="3"/>
  <c r="F94" i="3"/>
  <c r="D77" i="3"/>
  <c r="F131" i="3"/>
  <c r="J131" i="3"/>
  <c r="D165" i="3"/>
  <c r="F77" i="3"/>
  <c r="J77" i="3"/>
  <c r="J111" i="3"/>
  <c r="I77" i="3"/>
  <c r="G94" i="3"/>
  <c r="C94" i="4"/>
  <c r="C95" i="4" s="1"/>
  <c r="F7" i="4" s="1"/>
  <c r="L165" i="3"/>
  <c r="E77" i="3"/>
  <c r="E111" i="3"/>
  <c r="I111" i="3"/>
  <c r="I49" i="3"/>
  <c r="D58" i="3" s="1"/>
  <c r="C111" i="4"/>
  <c r="C112" i="4" s="1"/>
  <c r="G7" i="4" s="1"/>
  <c r="C165" i="4"/>
  <c r="C148" i="4"/>
  <c r="C131" i="4"/>
  <c r="C77" i="4"/>
  <c r="C24" i="4"/>
  <c r="C58" i="4"/>
  <c r="C41" i="4"/>
  <c r="F148" i="3"/>
  <c r="K148" i="3"/>
  <c r="J165" i="3"/>
  <c r="G165" i="3"/>
  <c r="D131" i="3"/>
  <c r="C131" i="3" s="1"/>
  <c r="L131" i="3"/>
  <c r="H165" i="3"/>
  <c r="H131" i="3"/>
  <c r="J148" i="3"/>
  <c r="I58" i="3"/>
  <c r="J85" i="3"/>
  <c r="E58" i="3"/>
  <c r="L58" i="3"/>
  <c r="K73" i="3"/>
  <c r="H94" i="3"/>
  <c r="F111" i="3"/>
  <c r="J139" i="3"/>
  <c r="E131" i="3"/>
  <c r="I131" i="3"/>
  <c r="M131" i="3"/>
  <c r="G148" i="3"/>
  <c r="E165" i="3"/>
  <c r="I165" i="3"/>
  <c r="M165" i="3"/>
  <c r="I139" i="3"/>
  <c r="D148" i="3" s="1"/>
  <c r="F58" i="3"/>
  <c r="G58" i="3"/>
  <c r="M58" i="3"/>
  <c r="E94" i="3"/>
  <c r="I94" i="3"/>
  <c r="G111" i="3"/>
  <c r="H148" i="3"/>
  <c r="L148" i="3"/>
  <c r="F165" i="3"/>
  <c r="J58" i="3"/>
  <c r="I85" i="3"/>
  <c r="D94" i="3" s="1"/>
  <c r="H77" i="3"/>
  <c r="J94" i="3"/>
  <c r="D111" i="3"/>
  <c r="H111" i="3"/>
  <c r="E148" i="3"/>
  <c r="I148" i="3"/>
  <c r="M148" i="3"/>
  <c r="K161" i="3"/>
  <c r="K74" i="3"/>
  <c r="K91" i="3"/>
  <c r="K107" i="3"/>
  <c r="K54" i="3"/>
  <c r="K58" i="3" s="1"/>
  <c r="E41" i="3"/>
  <c r="D41" i="3"/>
  <c r="G41" i="3"/>
  <c r="F41" i="3"/>
  <c r="M41" i="3"/>
  <c r="K24" i="3"/>
  <c r="H41" i="3"/>
  <c r="L41" i="3"/>
  <c r="I41" i="3"/>
  <c r="J41" i="3"/>
  <c r="K41" i="3"/>
  <c r="I24" i="3"/>
  <c r="G24" i="3"/>
  <c r="E24" i="3"/>
  <c r="F24" i="3"/>
  <c r="D24" i="3"/>
  <c r="H24" i="3"/>
  <c r="M24" i="3"/>
  <c r="L24" i="3"/>
  <c r="J24" i="3"/>
  <c r="E18" i="3"/>
  <c r="F18" i="3" s="1"/>
  <c r="G18" i="3" s="1"/>
  <c r="H18" i="3" s="1"/>
  <c r="I18" i="3" s="1"/>
  <c r="J18" i="3" s="1"/>
  <c r="K18" i="3" s="1"/>
  <c r="L18" i="3" s="1"/>
  <c r="M18" i="3" s="1"/>
  <c r="L19" i="3"/>
  <c r="C148" i="3" l="1"/>
  <c r="C149" i="3" s="1"/>
  <c r="F8" i="3" s="1"/>
  <c r="D7" i="4"/>
  <c r="C7" i="4"/>
  <c r="C42" i="4"/>
  <c r="F6" i="4" s="1"/>
  <c r="C6" i="4"/>
  <c r="B6" i="4"/>
  <c r="C25" i="4"/>
  <c r="E6" i="4" s="1"/>
  <c r="B8" i="4"/>
  <c r="C132" i="4"/>
  <c r="E8" i="4" s="1"/>
  <c r="C166" i="4"/>
  <c r="G8" i="4" s="1"/>
  <c r="D8" i="4"/>
  <c r="C59" i="4"/>
  <c r="G6" i="4" s="1"/>
  <c r="D6" i="4"/>
  <c r="C78" i="4"/>
  <c r="E7" i="4" s="1"/>
  <c r="B7" i="4"/>
  <c r="C149" i="4"/>
  <c r="F8" i="4" s="1"/>
  <c r="C8" i="4"/>
  <c r="C132" i="3"/>
  <c r="E8" i="3" s="1"/>
  <c r="B8" i="3"/>
  <c r="C58" i="3"/>
  <c r="K111" i="3"/>
  <c r="C111" i="3" s="1"/>
  <c r="K165" i="3"/>
  <c r="C165" i="3" s="1"/>
  <c r="K77" i="3"/>
  <c r="C77" i="3" s="1"/>
  <c r="K94" i="3"/>
  <c r="C94" i="3" s="1"/>
  <c r="C24" i="3"/>
  <c r="M19" i="3"/>
  <c r="C8" i="3" l="1"/>
  <c r="C95" i="3"/>
  <c r="F7" i="3" s="1"/>
  <c r="C7" i="3"/>
  <c r="C78" i="3"/>
  <c r="E7" i="3" s="1"/>
  <c r="B7" i="3"/>
  <c r="C112" i="3"/>
  <c r="G7" i="3" s="1"/>
  <c r="D7" i="3"/>
  <c r="C166" i="3"/>
  <c r="G8" i="3" s="1"/>
  <c r="D8" i="3"/>
  <c r="C59" i="3"/>
  <c r="G6" i="3" s="1"/>
  <c r="D6" i="3"/>
  <c r="C25" i="3"/>
  <c r="E6" i="3" s="1"/>
  <c r="B6" i="3"/>
  <c r="C41" i="3" l="1"/>
  <c r="C42" i="3" l="1"/>
  <c r="F6" i="3" s="1"/>
  <c r="C6" i="3"/>
  <c r="I9" i="2" l="1"/>
  <c r="I10" i="2"/>
  <c r="I11" i="2"/>
  <c r="I8" i="2"/>
  <c r="I3" i="2"/>
  <c r="E34" i="2" l="1"/>
  <c r="F34" i="2" s="1"/>
  <c r="G34" i="2" s="1"/>
  <c r="E33" i="2"/>
  <c r="F33" i="2" s="1"/>
  <c r="G33" i="2" s="1"/>
  <c r="E32" i="2"/>
  <c r="E31" i="2"/>
  <c r="F31" i="2" s="1"/>
  <c r="G31" i="2" s="1"/>
  <c r="E30" i="2"/>
  <c r="E29" i="2"/>
  <c r="F29" i="2" s="1"/>
  <c r="G29" i="2" s="1"/>
  <c r="E28" i="2"/>
  <c r="E27" i="2"/>
  <c r="F27" i="2" s="1"/>
  <c r="G27" i="2" s="1"/>
  <c r="E26" i="2"/>
  <c r="F26" i="2" s="1"/>
  <c r="E25" i="2"/>
  <c r="F25" i="2" s="1"/>
  <c r="E24" i="2"/>
  <c r="F24" i="2" s="1"/>
  <c r="B20" i="2"/>
  <c r="E20" i="2" s="1"/>
  <c r="F20" i="2" s="1"/>
  <c r="B19" i="2"/>
  <c r="E19" i="2" s="1"/>
  <c r="F19" i="2" s="1"/>
  <c r="B18" i="2"/>
  <c r="E18" i="2" s="1"/>
  <c r="F18" i="2" s="1"/>
  <c r="B17" i="2"/>
  <c r="E17" i="2" s="1"/>
  <c r="F17" i="2" s="1"/>
  <c r="B16" i="2"/>
  <c r="E16" i="2" s="1"/>
  <c r="F16" i="2" s="1"/>
  <c r="B15" i="2"/>
  <c r="E15" i="2" s="1"/>
  <c r="F15" i="2" s="1"/>
  <c r="E11" i="2"/>
  <c r="E10" i="2"/>
  <c r="E9" i="2"/>
  <c r="F9" i="2" s="1"/>
  <c r="J9" i="2" s="1"/>
  <c r="E8" i="2"/>
  <c r="E7" i="2"/>
  <c r="E6" i="2"/>
  <c r="E5" i="2"/>
  <c r="F5" i="2" s="1"/>
  <c r="E4" i="2"/>
  <c r="E3" i="2"/>
  <c r="F3" i="2" s="1"/>
  <c r="J3" i="2" s="1"/>
  <c r="I7" i="2" l="1"/>
  <c r="F11" i="2"/>
  <c r="J11" i="2" s="1"/>
  <c r="F7" i="2"/>
  <c r="G7" i="2" s="1"/>
  <c r="G5" i="2"/>
  <c r="I5" i="2"/>
  <c r="J5" i="2" s="1"/>
  <c r="G9" i="2"/>
  <c r="K9" i="2" s="1"/>
  <c r="I4" i="2"/>
  <c r="I6" i="2"/>
  <c r="F10" i="2"/>
  <c r="J10" i="2" s="1"/>
  <c r="F8" i="2"/>
  <c r="J8" i="2" s="1"/>
  <c r="F6" i="2"/>
  <c r="G6" i="2" s="1"/>
  <c r="F4" i="2"/>
  <c r="G4" i="2" s="1"/>
  <c r="G3" i="2"/>
  <c r="K3" i="2" s="1"/>
  <c r="F28" i="2"/>
  <c r="G28" i="2" s="1"/>
  <c r="G26" i="2"/>
  <c r="G16" i="2"/>
  <c r="G18" i="2"/>
  <c r="G20" i="2"/>
  <c r="G17" i="2"/>
  <c r="G19" i="2"/>
  <c r="G15" i="2"/>
  <c r="G25" i="2"/>
  <c r="F32" i="2"/>
  <c r="G32" i="2" s="1"/>
  <c r="F30" i="2"/>
  <c r="G30" i="2" s="1"/>
  <c r="G24" i="2"/>
  <c r="K5" i="2" l="1"/>
  <c r="G11" i="2"/>
  <c r="K11" i="2" s="1"/>
  <c r="G8" i="2"/>
  <c r="K8" i="2" s="1"/>
  <c r="G10" i="2"/>
  <c r="K10" i="2" s="1"/>
  <c r="J6" i="2"/>
  <c r="K6" i="2" s="1"/>
  <c r="J4" i="2"/>
  <c r="K4" i="2" s="1"/>
  <c r="J7" i="2"/>
  <c r="K7" i="2" s="1"/>
</calcChain>
</file>

<file path=xl/comments1.xml><?xml version="1.0" encoding="utf-8"?>
<comments xmlns="http://schemas.openxmlformats.org/spreadsheetml/2006/main">
  <authors>
    <author>Francis</author>
  </authors>
  <commentList>
    <comment ref="C24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25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41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42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58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59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77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78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94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95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112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131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132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148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149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165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166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</commentList>
</comments>
</file>

<file path=xl/comments2.xml><?xml version="1.0" encoding="utf-8"?>
<comments xmlns="http://schemas.openxmlformats.org/spreadsheetml/2006/main">
  <authors>
    <author>Francis</author>
  </authors>
  <commentList>
    <comment ref="C24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25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41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42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58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59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77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78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94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95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111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112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131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132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148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149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  <comment ref="C165" authorId="0" shapeId="0">
      <text>
        <r>
          <rPr>
            <sz val="9"/>
            <color indexed="81"/>
            <rFont val="Tahoma"/>
            <family val="2"/>
          </rPr>
          <t>Discounted to beginning of 2010.</t>
        </r>
      </text>
    </comment>
    <comment ref="C166" authorId="0" shapeId="0">
      <text>
        <r>
          <rPr>
            <sz val="9"/>
            <color indexed="81"/>
            <rFont val="Tahoma"/>
            <family val="2"/>
          </rPr>
          <t>No replacements until the end of the 1st year.</t>
        </r>
      </text>
    </comment>
  </commentList>
</comments>
</file>

<file path=xl/sharedStrings.xml><?xml version="1.0" encoding="utf-8"?>
<sst xmlns="http://schemas.openxmlformats.org/spreadsheetml/2006/main" count="424" uniqueCount="59">
  <si>
    <t>Bulb Type</t>
  </si>
  <si>
    <t>Lower Lumen Range</t>
  </si>
  <si>
    <t>Upper Lumen Range</t>
  </si>
  <si>
    <t>WattsBase</t>
  </si>
  <si>
    <t>Globe</t>
  </si>
  <si>
    <t>Decorative</t>
  </si>
  <si>
    <t>Omnidirectional</t>
  </si>
  <si>
    <t>&lt;15</t>
  </si>
  <si>
    <t>&gt;=15</t>
  </si>
  <si>
    <t>Directional</t>
  </si>
  <si>
    <t>&lt;20</t>
  </si>
  <si>
    <t>&gt;=20</t>
  </si>
  <si>
    <t>15&lt;=W&lt;25</t>
  </si>
  <si>
    <t>&gt;=25</t>
  </si>
  <si>
    <t>Minimum Efficacy (lm/W)</t>
  </si>
  <si>
    <t>WattsEff</t>
  </si>
  <si>
    <t>Delta Watts</t>
  </si>
  <si>
    <t>Minimum light output</t>
  </si>
  <si>
    <t>Lamp shall have minimum light output (total luminous flux) equal to the target wattage of the lamp to be replaced multiplied by 10.</t>
  </si>
  <si>
    <t>Mid Lumen Range</t>
  </si>
  <si>
    <t>http://www.energystar.gov/sites/default/files/ENERGY%20STAR%20Lamps%20V1%201_Specification.pdf</t>
  </si>
  <si>
    <t>Wattage</t>
  </si>
  <si>
    <t>Energy Star requirements</t>
  </si>
  <si>
    <t>Delta Watts before EISA 2020</t>
  </si>
  <si>
    <t>WattsEE after EISA 2020</t>
  </si>
  <si>
    <t>LED (OmniDirectional) O&amp;M Calculator  - RES</t>
  </si>
  <si>
    <t>Bulb Assumptions</t>
  </si>
  <si>
    <t>First year</t>
  </si>
  <si>
    <t>Inc</t>
  </si>
  <si>
    <t>CFL</t>
  </si>
  <si>
    <t>Annual hours</t>
  </si>
  <si>
    <t>Measure Life</t>
  </si>
  <si>
    <t>Component Life (hrs)</t>
  </si>
  <si>
    <t>Real Discount Rate (RDR)</t>
  </si>
  <si>
    <t>Component Replacement Cost</t>
  </si>
  <si>
    <t>Component Replacement Cost per year</t>
  </si>
  <si>
    <t>Year</t>
  </si>
  <si>
    <t>New Baseline Percentages</t>
  </si>
  <si>
    <t>Hal</t>
  </si>
  <si>
    <t>NPV</t>
  </si>
  <si>
    <t>Baseline Replacement Costs</t>
  </si>
  <si>
    <t>Levelized Cost</t>
  </si>
  <si>
    <t>Life</t>
  </si>
  <si>
    <t>INTERIOR</t>
  </si>
  <si>
    <t>OUTDOOR</t>
  </si>
  <si>
    <t>UNKNOWN</t>
  </si>
  <si>
    <t>Location</t>
  </si>
  <si>
    <t>NPV of replacement costs for period</t>
  </si>
  <si>
    <t>Levelized annual replacement cost savings</t>
  </si>
  <si>
    <t>2016 - 2017</t>
  </si>
  <si>
    <t>2017 - 2018</t>
  </si>
  <si>
    <t>2018 - 2019</t>
  </si>
  <si>
    <t>Residential and in-unit Multi Family</t>
  </si>
  <si>
    <t>Exterior</t>
  </si>
  <si>
    <t>Unknown</t>
  </si>
  <si>
    <t>Base</t>
  </si>
  <si>
    <t>Laclede</t>
  </si>
  <si>
    <t>KCP&amp;L</t>
  </si>
  <si>
    <t>Ameren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</si>
</sst>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0.0"/>
    <numFmt numFmtId="165" formatCode="0.0%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9" fontId="11" fillId="0" borderId="0" applyFont="0" applyFill="0" applyBorder="0" applyAlignment="0" applyProtection="0"/>
    <xf numFmtId="0" fontId="6" fillId="0" borderId="0"/>
    <xf numFmtId="0" fontId="11" fillId="0" borderId="0"/>
    <xf numFmtId="9" fontId="6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2" applyFont="1"/>
    <xf numFmtId="0" fontId="6" fillId="0" borderId="0" xfId="2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5" fillId="0" borderId="0" xfId="1"/>
    <xf numFmtId="0" fontId="12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3" applyNumberFormat="1" applyFont="1"/>
    <xf numFmtId="0" fontId="14" fillId="3" borderId="0" xfId="4" applyFont="1" applyFill="1"/>
    <xf numFmtId="0" fontId="7" fillId="0" borderId="0" xfId="4" applyFont="1" applyAlignment="1">
      <alignment wrapText="1"/>
    </xf>
    <xf numFmtId="0" fontId="6" fillId="0" borderId="0" xfId="4"/>
    <xf numFmtId="0" fontId="11" fillId="0" borderId="0" xfId="5"/>
    <xf numFmtId="0" fontId="6" fillId="0" borderId="0" xfId="4" applyAlignment="1">
      <alignment horizontal="right"/>
    </xf>
    <xf numFmtId="0" fontId="6" fillId="4" borderId="1" xfId="4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0" fontId="6" fillId="0" borderId="0" xfId="4" applyFont="1" applyAlignment="1">
      <alignment horizontal="right" wrapText="1"/>
    </xf>
    <xf numFmtId="0" fontId="6" fillId="5" borderId="1" xfId="4" applyFill="1" applyBorder="1"/>
    <xf numFmtId="164" fontId="6" fillId="4" borderId="3" xfId="4" applyNumberFormat="1" applyFill="1" applyBorder="1" applyAlignment="1">
      <alignment horizontal="center"/>
    </xf>
    <xf numFmtId="10" fontId="6" fillId="6" borderId="4" xfId="4" applyNumberFormat="1" applyFill="1" applyBorder="1"/>
    <xf numFmtId="166" fontId="15" fillId="4" borderId="1" xfId="4" applyNumberFormat="1" applyFont="1" applyFill="1" applyBorder="1" applyAlignment="1">
      <alignment horizontal="center"/>
    </xf>
    <xf numFmtId="166" fontId="6" fillId="5" borderId="1" xfId="4" applyNumberFormat="1" applyFill="1" applyBorder="1" applyAlignment="1">
      <alignment horizont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center" wrapText="1"/>
    </xf>
    <xf numFmtId="0" fontId="6" fillId="0" borderId="0" xfId="4" applyAlignment="1">
      <alignment horizontal="center"/>
    </xf>
    <xf numFmtId="9" fontId="0" fillId="4" borderId="1" xfId="6" applyFont="1" applyFill="1" applyBorder="1" applyAlignment="1">
      <alignment horizontal="center"/>
    </xf>
    <xf numFmtId="0" fontId="7" fillId="0" borderId="0" xfId="4" applyFont="1" applyAlignment="1">
      <alignment horizontal="right" vertical="center" wrapText="1"/>
    </xf>
    <xf numFmtId="9" fontId="0" fillId="0" borderId="0" xfId="6" applyFont="1" applyFill="1" applyBorder="1" applyAlignment="1">
      <alignment horizontal="center"/>
    </xf>
    <xf numFmtId="0" fontId="6" fillId="0" borderId="0" xfId="4" applyFont="1"/>
    <xf numFmtId="0" fontId="6" fillId="0" borderId="0" xfId="4" applyFont="1" applyAlignment="1">
      <alignment horizontal="right"/>
    </xf>
    <xf numFmtId="8" fontId="6" fillId="6" borderId="4" xfId="4" applyNumberFormat="1" applyFill="1" applyBorder="1" applyAlignment="1">
      <alignment horizontal="center"/>
    </xf>
    <xf numFmtId="166" fontId="6" fillId="0" borderId="0" xfId="4" applyNumberFormat="1"/>
    <xf numFmtId="8" fontId="6" fillId="5" borderId="5" xfId="4" applyNumberFormat="1" applyFill="1" applyBorder="1"/>
    <xf numFmtId="0" fontId="6" fillId="5" borderId="6" xfId="4" applyFill="1" applyBorder="1"/>
    <xf numFmtId="0" fontId="7" fillId="7" borderId="0" xfId="4" applyFont="1" applyFill="1" applyAlignment="1">
      <alignment wrapText="1"/>
    </xf>
    <xf numFmtId="0" fontId="6" fillId="7" borderId="0" xfId="4" applyFill="1"/>
    <xf numFmtId="0" fontId="11" fillId="7" borderId="0" xfId="5" applyFill="1"/>
    <xf numFmtId="0" fontId="11" fillId="8" borderId="0" xfId="5" applyFill="1"/>
    <xf numFmtId="0" fontId="11" fillId="9" borderId="0" xfId="5" applyFill="1"/>
    <xf numFmtId="0" fontId="12" fillId="10" borderId="12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8" fontId="17" fillId="11" borderId="12" xfId="0" applyNumberFormat="1" applyFont="1" applyFill="1" applyBorder="1" applyAlignment="1">
      <alignment horizontal="center" vertical="center"/>
    </xf>
    <xf numFmtId="0" fontId="7" fillId="0" borderId="0" xfId="4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2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7" fillId="0" borderId="0" xfId="4" applyFont="1" applyAlignment="1">
      <alignment horizontal="right" vertical="center" wrapText="1"/>
    </xf>
    <xf numFmtId="0" fontId="7" fillId="0" borderId="0" xfId="4" applyFont="1" applyAlignment="1">
      <alignment horizontal="right" wrapText="1"/>
    </xf>
    <xf numFmtId="0" fontId="7" fillId="7" borderId="7" xfId="4" applyFont="1" applyFill="1" applyBorder="1" applyAlignment="1">
      <alignment horizontal="center"/>
    </xf>
    <xf numFmtId="0" fontId="7" fillId="7" borderId="8" xfId="4" applyFont="1" applyFill="1" applyBorder="1" applyAlignment="1">
      <alignment horizontal="center"/>
    </xf>
    <xf numFmtId="0" fontId="7" fillId="0" borderId="7" xfId="4" applyFont="1" applyBorder="1" applyAlignment="1">
      <alignment horizontal="center"/>
    </xf>
    <xf numFmtId="0" fontId="7" fillId="0" borderId="8" xfId="4" applyFont="1" applyBorder="1" applyAlignment="1">
      <alignment horizontal="center"/>
    </xf>
    <xf numFmtId="0" fontId="13" fillId="3" borderId="0" xfId="4" applyFont="1" applyFill="1" applyAlignment="1">
      <alignment horizontal="left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center" vertical="center" wrapText="1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10" fontId="11" fillId="0" borderId="0" xfId="5" applyNumberFormat="1"/>
  </cellXfs>
  <cellStyles count="7">
    <cellStyle name="Hyperlink" xfId="1" builtinId="8"/>
    <cellStyle name="Normal" xfId="0" builtinId="0"/>
    <cellStyle name="Normal 10" xfId="5"/>
    <cellStyle name="Normal 154" xfId="2"/>
    <cellStyle name="Normal 2 2" xfId="4"/>
    <cellStyle name="Percent" xfId="3" builtinId="5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ergystar.gov/sites/default/files/ENERGY%20STAR%20Lamps%20V1%201_Specificatio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M21" sqref="M21"/>
    </sheetView>
  </sheetViews>
  <sheetFormatPr defaultRowHeight="15" x14ac:dyDescent="0.25"/>
  <cols>
    <col min="9" max="9" width="9.5703125" bestFit="1" customWidth="1"/>
    <col min="13" max="13" width="21.140625" customWidth="1"/>
  </cols>
  <sheetData>
    <row r="1" spans="1:15" ht="19.5" thickBot="1" x14ac:dyDescent="0.35">
      <c r="A1" s="10" t="s">
        <v>6</v>
      </c>
      <c r="M1" s="11" t="s">
        <v>20</v>
      </c>
    </row>
    <row r="2" spans="1:15" ht="51.75" thickBo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19</v>
      </c>
      <c r="F2" s="3" t="s">
        <v>15</v>
      </c>
      <c r="G2" s="3" t="s">
        <v>16</v>
      </c>
      <c r="I2" s="12" t="s">
        <v>24</v>
      </c>
      <c r="J2" s="12" t="s">
        <v>23</v>
      </c>
      <c r="M2" t="s">
        <v>22</v>
      </c>
    </row>
    <row r="3" spans="1:15" x14ac:dyDescent="0.25">
      <c r="A3" s="49" t="s">
        <v>6</v>
      </c>
      <c r="B3" s="4">
        <v>250</v>
      </c>
      <c r="C3" s="4">
        <v>449</v>
      </c>
      <c r="D3" s="4">
        <v>25</v>
      </c>
      <c r="E3" s="7">
        <f>(C3-B3)/2+B3</f>
        <v>349.5</v>
      </c>
      <c r="F3" s="8">
        <f>IF(E3/55&lt;15,E3/55,E3/65)</f>
        <v>6.3545454545454545</v>
      </c>
      <c r="G3" s="8">
        <f>D3-F3</f>
        <v>18.645454545454545</v>
      </c>
      <c r="I3" s="13">
        <f>D3</f>
        <v>25</v>
      </c>
      <c r="J3" s="13">
        <f>I3-F3</f>
        <v>18.645454545454545</v>
      </c>
      <c r="K3" s="14">
        <f>J3/G3</f>
        <v>1</v>
      </c>
      <c r="M3" t="s">
        <v>0</v>
      </c>
      <c r="N3" t="s">
        <v>21</v>
      </c>
      <c r="O3" t="s">
        <v>14</v>
      </c>
    </row>
    <row r="4" spans="1:15" x14ac:dyDescent="0.25">
      <c r="A4" s="49"/>
      <c r="B4" s="4">
        <v>450</v>
      </c>
      <c r="C4" s="4">
        <v>799</v>
      </c>
      <c r="D4" s="4">
        <v>29</v>
      </c>
      <c r="E4" s="7">
        <f t="shared" ref="E4:E11" si="0">(C4-B4)/2+B4</f>
        <v>624.5</v>
      </c>
      <c r="F4" s="8">
        <f t="shared" ref="F4:F11" si="1">IF(E4/55&lt;15,E4/55,E4/65)</f>
        <v>11.354545454545455</v>
      </c>
      <c r="G4" s="8">
        <f t="shared" ref="G4:G11" si="2">D4-F4</f>
        <v>17.645454545454545</v>
      </c>
      <c r="I4" s="13">
        <f t="shared" ref="I4:I7" si="3">E4/45</f>
        <v>13.877777777777778</v>
      </c>
      <c r="J4" s="13">
        <f t="shared" ref="J4:J11" si="4">I4-F4</f>
        <v>2.5232323232323228</v>
      </c>
      <c r="K4" s="14">
        <f t="shared" ref="K4:K11" si="5">J4/G4</f>
        <v>0.14299616463449538</v>
      </c>
      <c r="M4" s="52" t="s">
        <v>6</v>
      </c>
      <c r="N4" t="s">
        <v>7</v>
      </c>
      <c r="O4">
        <v>55</v>
      </c>
    </row>
    <row r="5" spans="1:15" x14ac:dyDescent="0.25">
      <c r="A5" s="49"/>
      <c r="B5" s="4">
        <v>800</v>
      </c>
      <c r="C5" s="4">
        <v>1099</v>
      </c>
      <c r="D5" s="4">
        <v>43</v>
      </c>
      <c r="E5" s="7">
        <f t="shared" si="0"/>
        <v>949.5</v>
      </c>
      <c r="F5" s="8">
        <f t="shared" si="1"/>
        <v>14.607692307692307</v>
      </c>
      <c r="G5" s="8">
        <f t="shared" si="2"/>
        <v>28.392307692307693</v>
      </c>
      <c r="I5" s="13">
        <f t="shared" si="3"/>
        <v>21.1</v>
      </c>
      <c r="J5" s="13">
        <f t="shared" si="4"/>
        <v>6.4923076923076941</v>
      </c>
      <c r="K5" s="14">
        <f t="shared" si="5"/>
        <v>0.22866431861284212</v>
      </c>
      <c r="M5" s="52"/>
      <c r="N5" t="s">
        <v>8</v>
      </c>
      <c r="O5">
        <v>65</v>
      </c>
    </row>
    <row r="6" spans="1:15" x14ac:dyDescent="0.25">
      <c r="A6" s="49"/>
      <c r="B6" s="4">
        <v>1100</v>
      </c>
      <c r="C6" s="4">
        <v>1599</v>
      </c>
      <c r="D6" s="4">
        <v>53</v>
      </c>
      <c r="E6" s="7">
        <f t="shared" si="0"/>
        <v>1349.5</v>
      </c>
      <c r="F6" s="8">
        <f t="shared" si="1"/>
        <v>20.761538461538461</v>
      </c>
      <c r="G6" s="8">
        <f t="shared" si="2"/>
        <v>32.238461538461536</v>
      </c>
      <c r="I6" s="13">
        <f t="shared" si="3"/>
        <v>29.988888888888887</v>
      </c>
      <c r="J6" s="13">
        <f t="shared" si="4"/>
        <v>9.2273504273504265</v>
      </c>
      <c r="K6" s="14">
        <f t="shared" si="5"/>
        <v>0.28622179803282166</v>
      </c>
      <c r="M6" s="52" t="s">
        <v>9</v>
      </c>
      <c r="N6" t="s">
        <v>10</v>
      </c>
      <c r="O6">
        <v>40</v>
      </c>
    </row>
    <row r="7" spans="1:15" x14ac:dyDescent="0.25">
      <c r="A7" s="49"/>
      <c r="B7" s="4">
        <v>1600</v>
      </c>
      <c r="C7" s="4">
        <v>1999</v>
      </c>
      <c r="D7" s="4">
        <v>72</v>
      </c>
      <c r="E7" s="7">
        <f t="shared" si="0"/>
        <v>1799.5</v>
      </c>
      <c r="F7" s="8">
        <f t="shared" si="1"/>
        <v>27.684615384615384</v>
      </c>
      <c r="G7" s="8">
        <f t="shared" si="2"/>
        <v>44.315384615384616</v>
      </c>
      <c r="I7" s="13">
        <f t="shared" si="3"/>
        <v>39.988888888888887</v>
      </c>
      <c r="J7" s="13">
        <f t="shared" si="4"/>
        <v>12.304273504273503</v>
      </c>
      <c r="K7" s="14">
        <f t="shared" si="5"/>
        <v>0.27765241373989852</v>
      </c>
      <c r="M7" s="52"/>
      <c r="N7" t="s">
        <v>11</v>
      </c>
      <c r="O7">
        <v>50</v>
      </c>
    </row>
    <row r="8" spans="1:15" x14ac:dyDescent="0.25">
      <c r="A8" s="49"/>
      <c r="B8" s="4">
        <v>2000</v>
      </c>
      <c r="C8" s="4">
        <v>2549</v>
      </c>
      <c r="D8" s="4">
        <v>125</v>
      </c>
      <c r="E8" s="7">
        <f t="shared" si="0"/>
        <v>2274.5</v>
      </c>
      <c r="F8" s="8">
        <f t="shared" si="1"/>
        <v>34.992307692307691</v>
      </c>
      <c r="G8" s="8">
        <f t="shared" si="2"/>
        <v>90.007692307692309</v>
      </c>
      <c r="I8" s="13">
        <f>D8</f>
        <v>125</v>
      </c>
      <c r="J8" s="13">
        <f t="shared" si="4"/>
        <v>90.007692307692309</v>
      </c>
      <c r="K8" s="14">
        <f t="shared" si="5"/>
        <v>1</v>
      </c>
      <c r="M8" s="52" t="s">
        <v>5</v>
      </c>
      <c r="N8" t="s">
        <v>7</v>
      </c>
      <c r="O8">
        <v>45</v>
      </c>
    </row>
    <row r="9" spans="1:15" x14ac:dyDescent="0.25">
      <c r="A9" s="49"/>
      <c r="B9" s="5">
        <v>2550</v>
      </c>
      <c r="C9" s="5">
        <v>3000</v>
      </c>
      <c r="D9" s="5">
        <v>150</v>
      </c>
      <c r="E9" s="7">
        <f t="shared" si="0"/>
        <v>2775</v>
      </c>
      <c r="F9" s="8">
        <f t="shared" si="1"/>
        <v>42.692307692307693</v>
      </c>
      <c r="G9" s="8">
        <f t="shared" si="2"/>
        <v>107.30769230769231</v>
      </c>
      <c r="I9" s="13">
        <f t="shared" ref="I9:I11" si="6">D9</f>
        <v>150</v>
      </c>
      <c r="J9" s="13">
        <f t="shared" si="4"/>
        <v>107.30769230769231</v>
      </c>
      <c r="K9" s="14">
        <f t="shared" si="5"/>
        <v>1</v>
      </c>
      <c r="M9" s="52"/>
      <c r="N9" t="s">
        <v>12</v>
      </c>
      <c r="O9">
        <v>50</v>
      </c>
    </row>
    <row r="10" spans="1:15" x14ac:dyDescent="0.25">
      <c r="A10" s="49"/>
      <c r="B10" s="5">
        <v>3001</v>
      </c>
      <c r="C10" s="5">
        <v>3999</v>
      </c>
      <c r="D10" s="5">
        <v>200</v>
      </c>
      <c r="E10" s="7">
        <f t="shared" si="0"/>
        <v>3500</v>
      </c>
      <c r="F10" s="8">
        <f t="shared" si="1"/>
        <v>53.846153846153847</v>
      </c>
      <c r="G10" s="8">
        <f t="shared" si="2"/>
        <v>146.15384615384616</v>
      </c>
      <c r="I10" s="13">
        <f t="shared" si="6"/>
        <v>200</v>
      </c>
      <c r="J10" s="13">
        <f t="shared" si="4"/>
        <v>146.15384615384616</v>
      </c>
      <c r="K10" s="14">
        <f t="shared" si="5"/>
        <v>1</v>
      </c>
      <c r="M10" s="52"/>
      <c r="N10" t="s">
        <v>13</v>
      </c>
      <c r="O10">
        <v>60</v>
      </c>
    </row>
    <row r="11" spans="1:15" x14ac:dyDescent="0.25">
      <c r="A11" s="49"/>
      <c r="B11" s="5">
        <v>4000</v>
      </c>
      <c r="C11" s="5">
        <v>6000</v>
      </c>
      <c r="D11" s="5">
        <v>300</v>
      </c>
      <c r="E11" s="7">
        <f t="shared" si="0"/>
        <v>5000</v>
      </c>
      <c r="F11" s="8">
        <f t="shared" si="1"/>
        <v>76.92307692307692</v>
      </c>
      <c r="G11" s="8">
        <f t="shared" si="2"/>
        <v>223.07692307692309</v>
      </c>
      <c r="I11" s="13">
        <f t="shared" si="6"/>
        <v>300</v>
      </c>
      <c r="J11" s="13">
        <f t="shared" si="4"/>
        <v>223.07692307692309</v>
      </c>
      <c r="K11" s="14">
        <f t="shared" si="5"/>
        <v>1</v>
      </c>
    </row>
    <row r="13" spans="1:15" ht="18.75" x14ac:dyDescent="0.3">
      <c r="A13" s="10" t="s">
        <v>9</v>
      </c>
      <c r="C13" s="2"/>
      <c r="D13" s="2"/>
      <c r="K13" s="1" t="s">
        <v>17</v>
      </c>
      <c r="L13" s="2"/>
    </row>
    <row r="14" spans="1:15" ht="38.25" customHeight="1" x14ac:dyDescent="0.25">
      <c r="A14" s="3" t="s">
        <v>0</v>
      </c>
      <c r="B14" s="3" t="s">
        <v>1</v>
      </c>
      <c r="C14" s="3" t="s">
        <v>2</v>
      </c>
      <c r="D14" s="3" t="s">
        <v>3</v>
      </c>
      <c r="E14" s="3" t="s">
        <v>19</v>
      </c>
      <c r="F14" s="3" t="s">
        <v>15</v>
      </c>
      <c r="G14" s="3" t="s">
        <v>16</v>
      </c>
      <c r="K14" s="51" t="s">
        <v>18</v>
      </c>
      <c r="L14" s="51"/>
      <c r="M14" s="51"/>
    </row>
    <row r="15" spans="1:15" x14ac:dyDescent="0.25">
      <c r="A15" s="50" t="s">
        <v>9</v>
      </c>
      <c r="B15" s="4">
        <f t="shared" ref="B15:B20" si="7">D15*10</f>
        <v>250</v>
      </c>
      <c r="C15" s="4">
        <v>349</v>
      </c>
      <c r="D15" s="4">
        <v>25</v>
      </c>
      <c r="E15" s="7">
        <f>(C15-B15)/2+B15</f>
        <v>299.5</v>
      </c>
      <c r="F15" s="8">
        <f>IF(E15/40&lt;20,E15/40,E15/50)</f>
        <v>7.4874999999999998</v>
      </c>
      <c r="G15" s="8">
        <f t="shared" ref="G15:G20" si="8">D15-F15</f>
        <v>17.512499999999999</v>
      </c>
      <c r="K15" s="51"/>
      <c r="L15" s="51"/>
      <c r="M15" s="51"/>
    </row>
    <row r="16" spans="1:15" x14ac:dyDescent="0.25">
      <c r="A16" s="50"/>
      <c r="B16" s="4">
        <f t="shared" si="7"/>
        <v>350</v>
      </c>
      <c r="C16" s="4">
        <v>399</v>
      </c>
      <c r="D16" s="4">
        <v>35</v>
      </c>
      <c r="E16" s="7">
        <f t="shared" ref="E16:E20" si="9">(C16-B16)/2+B16</f>
        <v>374.5</v>
      </c>
      <c r="F16" s="8">
        <f t="shared" ref="F16:F20" si="10">IF(E16/40&lt;20,E16/40,E16/50)</f>
        <v>9.3625000000000007</v>
      </c>
      <c r="G16" s="8">
        <f t="shared" si="8"/>
        <v>25.637499999999999</v>
      </c>
      <c r="K16" s="51"/>
      <c r="L16" s="51"/>
      <c r="M16" s="51"/>
    </row>
    <row r="17" spans="1:13" x14ac:dyDescent="0.25">
      <c r="A17" s="50"/>
      <c r="B17" s="4">
        <f t="shared" si="7"/>
        <v>400</v>
      </c>
      <c r="C17" s="4">
        <v>599</v>
      </c>
      <c r="D17" s="4">
        <v>40</v>
      </c>
      <c r="E17" s="7">
        <f t="shared" si="9"/>
        <v>499.5</v>
      </c>
      <c r="F17" s="8">
        <f t="shared" si="10"/>
        <v>12.487500000000001</v>
      </c>
      <c r="G17" s="8">
        <f t="shared" si="8"/>
        <v>27.512499999999999</v>
      </c>
      <c r="K17" s="51"/>
      <c r="L17" s="51"/>
      <c r="M17" s="51"/>
    </row>
    <row r="18" spans="1:13" x14ac:dyDescent="0.25">
      <c r="A18" s="50"/>
      <c r="B18" s="4">
        <f t="shared" si="7"/>
        <v>600</v>
      </c>
      <c r="C18" s="4">
        <v>749</v>
      </c>
      <c r="D18" s="4">
        <v>60</v>
      </c>
      <c r="E18" s="7">
        <f t="shared" si="9"/>
        <v>674.5</v>
      </c>
      <c r="F18" s="8">
        <f t="shared" si="10"/>
        <v>16.862500000000001</v>
      </c>
      <c r="G18" s="8">
        <f t="shared" si="8"/>
        <v>43.137500000000003</v>
      </c>
      <c r="K18" s="51"/>
      <c r="L18" s="51"/>
      <c r="M18" s="51"/>
    </row>
    <row r="19" spans="1:13" x14ac:dyDescent="0.25">
      <c r="A19" s="50"/>
      <c r="B19" s="4">
        <f t="shared" si="7"/>
        <v>750</v>
      </c>
      <c r="C19" s="4">
        <v>999</v>
      </c>
      <c r="D19" s="4">
        <v>75</v>
      </c>
      <c r="E19" s="7">
        <f t="shared" si="9"/>
        <v>874.5</v>
      </c>
      <c r="F19" s="8">
        <f t="shared" si="10"/>
        <v>17.489999999999998</v>
      </c>
      <c r="G19" s="8">
        <f t="shared" si="8"/>
        <v>57.510000000000005</v>
      </c>
      <c r="K19" s="51"/>
      <c r="L19" s="51"/>
      <c r="M19" s="51"/>
    </row>
    <row r="20" spans="1:13" x14ac:dyDescent="0.25">
      <c r="A20" s="50"/>
      <c r="B20" s="4">
        <f t="shared" si="7"/>
        <v>1000</v>
      </c>
      <c r="C20" s="4">
        <v>1250</v>
      </c>
      <c r="D20" s="4">
        <v>100</v>
      </c>
      <c r="E20" s="7">
        <f t="shared" si="9"/>
        <v>1125</v>
      </c>
      <c r="F20" s="8">
        <f t="shared" si="10"/>
        <v>22.5</v>
      </c>
      <c r="G20" s="8">
        <f t="shared" si="8"/>
        <v>77.5</v>
      </c>
    </row>
    <row r="22" spans="1:13" ht="18.75" x14ac:dyDescent="0.3">
      <c r="A22" s="10" t="s">
        <v>5</v>
      </c>
    </row>
    <row r="23" spans="1:13" ht="38.25" x14ac:dyDescent="0.25">
      <c r="A23" s="3" t="s">
        <v>0</v>
      </c>
      <c r="B23" s="3" t="s">
        <v>1</v>
      </c>
      <c r="C23" s="3" t="s">
        <v>2</v>
      </c>
      <c r="D23" s="3" t="s">
        <v>3</v>
      </c>
      <c r="E23" s="3" t="s">
        <v>19</v>
      </c>
      <c r="F23" s="3" t="s">
        <v>15</v>
      </c>
      <c r="G23" s="3" t="s">
        <v>16</v>
      </c>
    </row>
    <row r="24" spans="1:13" ht="15.75" customHeight="1" x14ac:dyDescent="0.25">
      <c r="A24" s="49" t="s">
        <v>5</v>
      </c>
      <c r="B24" s="4">
        <v>70</v>
      </c>
      <c r="C24" s="4">
        <v>89</v>
      </c>
      <c r="D24" s="4">
        <v>10</v>
      </c>
      <c r="E24" s="7">
        <f>(C24-B24)/2+B24</f>
        <v>79.5</v>
      </c>
      <c r="F24" s="8">
        <f>IF(E24/45&lt;15,E24/45,IF(AND(E24/50&gt;=15,E24/50&lt;25),E24/50,IF(E24/60&gt;=25,E24/60)))</f>
        <v>1.7666666666666666</v>
      </c>
      <c r="G24" s="8">
        <f>D24-F24</f>
        <v>8.2333333333333343</v>
      </c>
    </row>
    <row r="25" spans="1:13" x14ac:dyDescent="0.25">
      <c r="A25" s="49"/>
      <c r="B25" s="4">
        <v>90</v>
      </c>
      <c r="C25" s="4">
        <v>149</v>
      </c>
      <c r="D25" s="4">
        <v>15</v>
      </c>
      <c r="E25" s="7">
        <f t="shared" ref="E25:E34" si="11">(C25-B25)/2+B25</f>
        <v>119.5</v>
      </c>
      <c r="F25" s="8">
        <f t="shared" ref="F25:F34" si="12">IF(E25/45&lt;15,E25/45,IF(AND(E25/50&gt;=15,E25/50&lt;25),E25/50,IF(E25/60&gt;=25,E25/60)))</f>
        <v>2.6555555555555554</v>
      </c>
      <c r="G25" s="8">
        <f t="shared" ref="G25:G34" si="13">D25-F25</f>
        <v>12.344444444444445</v>
      </c>
    </row>
    <row r="26" spans="1:13" x14ac:dyDescent="0.25">
      <c r="A26" s="49"/>
      <c r="B26" s="4">
        <v>150</v>
      </c>
      <c r="C26" s="4">
        <v>299</v>
      </c>
      <c r="D26" s="4">
        <v>25</v>
      </c>
      <c r="E26" s="7">
        <f t="shared" si="11"/>
        <v>224.5</v>
      </c>
      <c r="F26" s="8">
        <f t="shared" si="12"/>
        <v>4.9888888888888889</v>
      </c>
      <c r="G26" s="8">
        <f t="shared" si="13"/>
        <v>20.011111111111113</v>
      </c>
    </row>
    <row r="27" spans="1:13" x14ac:dyDescent="0.25">
      <c r="A27" s="49"/>
      <c r="B27" s="4">
        <v>300</v>
      </c>
      <c r="C27" s="4">
        <v>499</v>
      </c>
      <c r="D27" s="4">
        <v>40</v>
      </c>
      <c r="E27" s="7">
        <f t="shared" si="11"/>
        <v>399.5</v>
      </c>
      <c r="F27" s="8">
        <f t="shared" si="12"/>
        <v>8.8777777777777782</v>
      </c>
      <c r="G27" s="8">
        <f t="shared" si="13"/>
        <v>31.12222222222222</v>
      </c>
    </row>
    <row r="28" spans="1:13" x14ac:dyDescent="0.25">
      <c r="A28" s="49"/>
      <c r="B28" s="4">
        <v>500</v>
      </c>
      <c r="C28" s="4">
        <v>699</v>
      </c>
      <c r="D28" s="4">
        <v>60</v>
      </c>
      <c r="E28" s="7">
        <f t="shared" si="11"/>
        <v>599.5</v>
      </c>
      <c r="F28" s="8">
        <f t="shared" si="12"/>
        <v>13.322222222222223</v>
      </c>
      <c r="G28" s="8">
        <f t="shared" si="13"/>
        <v>46.677777777777777</v>
      </c>
    </row>
    <row r="29" spans="1:13" x14ac:dyDescent="0.25">
      <c r="A29" s="49" t="s">
        <v>4</v>
      </c>
      <c r="B29" s="4">
        <v>250</v>
      </c>
      <c r="C29" s="4">
        <v>349</v>
      </c>
      <c r="D29" s="4">
        <v>25</v>
      </c>
      <c r="E29" s="7">
        <f t="shared" si="11"/>
        <v>299.5</v>
      </c>
      <c r="F29" s="8">
        <f t="shared" si="12"/>
        <v>6.6555555555555559</v>
      </c>
      <c r="G29" s="8">
        <f t="shared" si="13"/>
        <v>18.344444444444445</v>
      </c>
    </row>
    <row r="30" spans="1:13" x14ac:dyDescent="0.25">
      <c r="A30" s="49"/>
      <c r="B30" s="5">
        <v>350</v>
      </c>
      <c r="C30" s="5">
        <v>499</v>
      </c>
      <c r="D30" s="5">
        <v>40</v>
      </c>
      <c r="E30" s="7">
        <f t="shared" si="11"/>
        <v>424.5</v>
      </c>
      <c r="F30" s="8">
        <f t="shared" si="12"/>
        <v>9.4333333333333336</v>
      </c>
      <c r="G30" s="8">
        <f t="shared" si="13"/>
        <v>30.566666666666666</v>
      </c>
    </row>
    <row r="31" spans="1:13" x14ac:dyDescent="0.25">
      <c r="A31" s="49"/>
      <c r="B31" s="5">
        <v>500</v>
      </c>
      <c r="C31" s="5">
        <v>574</v>
      </c>
      <c r="D31" s="5">
        <v>60</v>
      </c>
      <c r="E31" s="7">
        <f t="shared" si="11"/>
        <v>537</v>
      </c>
      <c r="F31" s="8">
        <f t="shared" si="12"/>
        <v>11.933333333333334</v>
      </c>
      <c r="G31" s="8">
        <f t="shared" si="13"/>
        <v>48.066666666666663</v>
      </c>
    </row>
    <row r="32" spans="1:13" x14ac:dyDescent="0.25">
      <c r="A32" s="49"/>
      <c r="B32" s="5">
        <v>575</v>
      </c>
      <c r="C32" s="5">
        <v>649</v>
      </c>
      <c r="D32" s="5">
        <v>75</v>
      </c>
      <c r="E32" s="7">
        <f t="shared" si="11"/>
        <v>612</v>
      </c>
      <c r="F32" s="8">
        <f t="shared" si="12"/>
        <v>13.6</v>
      </c>
      <c r="G32" s="8">
        <f t="shared" si="13"/>
        <v>61.4</v>
      </c>
    </row>
    <row r="33" spans="1:7" x14ac:dyDescent="0.25">
      <c r="A33" s="49"/>
      <c r="B33" s="6">
        <v>650</v>
      </c>
      <c r="C33" s="6">
        <v>1099</v>
      </c>
      <c r="D33" s="6">
        <v>100</v>
      </c>
      <c r="E33" s="7">
        <f t="shared" si="11"/>
        <v>874.5</v>
      </c>
      <c r="F33" s="8">
        <f t="shared" si="12"/>
        <v>17.489999999999998</v>
      </c>
      <c r="G33" s="9">
        <f t="shared" si="13"/>
        <v>82.51</v>
      </c>
    </row>
    <row r="34" spans="1:7" x14ac:dyDescent="0.25">
      <c r="A34" s="49"/>
      <c r="B34" s="6">
        <v>1100</v>
      </c>
      <c r="C34" s="6">
        <v>1300</v>
      </c>
      <c r="D34" s="6">
        <v>150</v>
      </c>
      <c r="E34" s="7">
        <f t="shared" si="11"/>
        <v>1200</v>
      </c>
      <c r="F34" s="8">
        <f t="shared" si="12"/>
        <v>24</v>
      </c>
      <c r="G34" s="9">
        <f t="shared" si="13"/>
        <v>126</v>
      </c>
    </row>
  </sheetData>
  <mergeCells count="8">
    <mergeCell ref="A29:A34"/>
    <mergeCell ref="A15:A20"/>
    <mergeCell ref="K14:M19"/>
    <mergeCell ref="A3:A11"/>
    <mergeCell ref="M4:M5"/>
    <mergeCell ref="M6:M7"/>
    <mergeCell ref="M8:M10"/>
    <mergeCell ref="A24:A28"/>
  </mergeCells>
  <hyperlinks>
    <hyperlink ref="M1" r:id="rId1"/>
    <hyperlink ref="I2" location="_ftn1" display="_ftn1"/>
  </hyperlinks>
  <pageMargins left="0.7" right="0.7" top="0.75" bottom="0.75" header="0.3" footer="0.3"/>
  <pageSetup orientation="portrait" horizontalDpi="4294967294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7"/>
  <sheetViews>
    <sheetView topLeftCell="A94" workbookViewId="0">
      <selection activeCell="N119" sqref="N119"/>
    </sheetView>
  </sheetViews>
  <sheetFormatPr defaultRowHeight="15" x14ac:dyDescent="0.25"/>
  <cols>
    <col min="1" max="1" width="22.42578125" style="18" customWidth="1"/>
    <col min="2" max="2" width="10.7109375" style="18" customWidth="1"/>
    <col min="3" max="3" width="11.140625" style="18" customWidth="1"/>
    <col min="4" max="4" width="11.5703125" style="18" bestFit="1" customWidth="1"/>
    <col min="5" max="5" width="10.5703125" style="18" customWidth="1"/>
    <col min="6" max="6" width="10.42578125" style="18" customWidth="1"/>
    <col min="7" max="7" width="11.28515625" style="18" bestFit="1" customWidth="1"/>
    <col min="8" max="8" width="9.140625" style="18"/>
    <col min="9" max="9" width="10.140625" style="18" customWidth="1"/>
    <col min="10" max="16384" width="9.140625" style="18"/>
  </cols>
  <sheetData>
    <row r="1" spans="1:21" s="15" customFormat="1" ht="18.75" customHeight="1" x14ac:dyDescent="0.25">
      <c r="A1" s="59" t="s">
        <v>25</v>
      </c>
      <c r="B1" s="59"/>
      <c r="C1" s="59"/>
      <c r="D1" s="59"/>
      <c r="E1" s="59"/>
      <c r="F1" s="59"/>
      <c r="G1" s="59"/>
      <c r="H1" s="59"/>
      <c r="I1" s="59"/>
      <c r="J1" s="59"/>
    </row>
    <row r="2" spans="1:21" ht="7.5" customHeight="1" x14ac:dyDescent="0.25">
      <c r="A2" s="16"/>
      <c r="B2" s="17"/>
      <c r="C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4.25" customHeight="1" thickBot="1" x14ac:dyDescent="0.3">
      <c r="A3" s="16"/>
      <c r="B3" s="17"/>
      <c r="C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5.5" customHeight="1" thickBot="1" x14ac:dyDescent="0.3">
      <c r="A4" s="60" t="s">
        <v>46</v>
      </c>
      <c r="B4" s="62" t="s">
        <v>47</v>
      </c>
      <c r="C4" s="63"/>
      <c r="D4" s="64"/>
      <c r="E4" s="62" t="s">
        <v>48</v>
      </c>
      <c r="F4" s="63"/>
      <c r="G4" s="64"/>
      <c r="J4" s="17"/>
      <c r="R4" s="17"/>
      <c r="S4" s="17"/>
      <c r="T4" s="17"/>
      <c r="U4" s="17"/>
    </row>
    <row r="5" spans="1:21" ht="14.25" customHeight="1" thickBot="1" x14ac:dyDescent="0.3">
      <c r="A5" s="61"/>
      <c r="B5" s="45" t="s">
        <v>49</v>
      </c>
      <c r="C5" s="45" t="s">
        <v>50</v>
      </c>
      <c r="D5" s="45" t="s">
        <v>51</v>
      </c>
      <c r="E5" s="45" t="s">
        <v>49</v>
      </c>
      <c r="F5" s="45" t="s">
        <v>50</v>
      </c>
      <c r="G5" s="45" t="s">
        <v>51</v>
      </c>
      <c r="J5" s="17"/>
      <c r="R5" s="17"/>
      <c r="S5" s="17"/>
      <c r="T5" s="17"/>
      <c r="U5" s="17"/>
    </row>
    <row r="6" spans="1:21" ht="36" customHeight="1" thickBot="1" x14ac:dyDescent="0.3">
      <c r="A6" s="46" t="s">
        <v>52</v>
      </c>
      <c r="B6" s="47">
        <f>C24</f>
        <v>1.9314290903307276</v>
      </c>
      <c r="C6" s="47">
        <f>C41</f>
        <v>1.8123236893701264</v>
      </c>
      <c r="D6" s="47">
        <f>C58</f>
        <v>1.6849904476093667</v>
      </c>
      <c r="E6" s="47">
        <f>C25</f>
        <v>0.2738241809993795</v>
      </c>
      <c r="F6" s="47">
        <f>C42</f>
        <v>0.25693827044024287</v>
      </c>
      <c r="G6" s="47">
        <f>C59</f>
        <v>0.23888587555104421</v>
      </c>
      <c r="J6" s="17"/>
      <c r="R6" s="17"/>
      <c r="S6" s="17"/>
      <c r="T6" s="17"/>
      <c r="U6" s="17"/>
    </row>
    <row r="7" spans="1:21" ht="15.75" thickBot="1" x14ac:dyDescent="0.3">
      <c r="A7" s="46" t="s">
        <v>53</v>
      </c>
      <c r="B7" s="47">
        <f>C77</f>
        <v>2.95268911802293</v>
      </c>
      <c r="C7" s="47">
        <f>C94</f>
        <v>2.7411965546955925</v>
      </c>
      <c r="D7" s="47">
        <f>C111</f>
        <v>2.5150940145960812</v>
      </c>
      <c r="E7" s="47">
        <f>C78</f>
        <v>0.49271937193393078</v>
      </c>
      <c r="F7" s="47">
        <f>C95</f>
        <v>0.45742731144057364</v>
      </c>
      <c r="G7" s="47">
        <f>C112</f>
        <v>0.41969726364431503</v>
      </c>
      <c r="J7" s="17"/>
      <c r="R7" s="17"/>
      <c r="S7" s="17"/>
      <c r="T7" s="17"/>
      <c r="U7" s="17"/>
    </row>
    <row r="8" spans="1:21" ht="15.75" thickBot="1" x14ac:dyDescent="0.3">
      <c r="A8" s="46" t="s">
        <v>54</v>
      </c>
      <c r="B8" s="47">
        <f>C131</f>
        <v>2.0071202303572013</v>
      </c>
      <c r="C8" s="47">
        <f>C148</f>
        <v>1.8833471853049015</v>
      </c>
      <c r="D8" s="47">
        <f>C165</f>
        <v>1.7510238570427064</v>
      </c>
      <c r="E8" s="47">
        <f>C132</f>
        <v>0.28455512863313887</v>
      </c>
      <c r="F8" s="47">
        <f>C149</f>
        <v>0.26700747293046856</v>
      </c>
      <c r="G8" s="47">
        <f>C166</f>
        <v>0.24824761932263914</v>
      </c>
      <c r="J8" s="17"/>
      <c r="R8" s="17"/>
      <c r="S8" s="17"/>
      <c r="T8" s="17"/>
      <c r="U8" s="17"/>
    </row>
    <row r="9" spans="1:21" ht="14.25" customHeight="1" x14ac:dyDescent="0.25">
      <c r="A9" s="16"/>
      <c r="B9" s="17"/>
      <c r="C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ht="14.25" customHeight="1" x14ac:dyDescent="0.25">
      <c r="A10" s="16"/>
      <c r="B10" s="17"/>
      <c r="C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2.75" customHeight="1" x14ac:dyDescent="0.25">
      <c r="A11" s="16" t="s">
        <v>43</v>
      </c>
      <c r="B11" s="17"/>
      <c r="C11" s="17"/>
      <c r="I11" s="57" t="s">
        <v>26</v>
      </c>
      <c r="J11" s="58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25.5" customHeight="1" x14ac:dyDescent="0.25">
      <c r="A12" s="19" t="s">
        <v>27</v>
      </c>
      <c r="B12" s="20">
        <v>2016</v>
      </c>
      <c r="C12" s="17" t="s">
        <v>56</v>
      </c>
      <c r="D12" s="65">
        <v>7.1900000000000006E-2</v>
      </c>
      <c r="H12" s="17"/>
      <c r="I12" s="21" t="s">
        <v>55</v>
      </c>
      <c r="J12" s="21" t="s">
        <v>29</v>
      </c>
      <c r="K12" s="17"/>
      <c r="L12" s="17"/>
      <c r="M12" s="22" t="s">
        <v>30</v>
      </c>
      <c r="N12" s="23">
        <v>740</v>
      </c>
      <c r="O12" s="17"/>
      <c r="P12" s="17"/>
      <c r="Q12" s="17"/>
      <c r="R12" s="17"/>
      <c r="S12" s="17"/>
      <c r="T12" s="17"/>
      <c r="U12" s="17"/>
    </row>
    <row r="13" spans="1:21" ht="12.75" customHeight="1" thickBot="1" x14ac:dyDescent="0.3">
      <c r="A13" s="19" t="s">
        <v>31</v>
      </c>
      <c r="B13" s="24">
        <v>10</v>
      </c>
      <c r="C13" s="17" t="s">
        <v>57</v>
      </c>
      <c r="D13" s="65">
        <v>6.5840999999999997E-2</v>
      </c>
      <c r="E13" s="54" t="s">
        <v>32</v>
      </c>
      <c r="F13" s="54"/>
      <c r="G13" s="54"/>
      <c r="H13" s="54"/>
      <c r="I13" s="20">
        <f>0.7*1000+0.25*10000+0.05*20000</f>
        <v>4200</v>
      </c>
      <c r="J13" s="20">
        <v>10000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12.75" customHeight="1" thickBot="1" x14ac:dyDescent="0.3">
      <c r="A14" s="17" t="s">
        <v>33</v>
      </c>
      <c r="B14" s="25">
        <f>AVERAGE(D12:D14)</f>
        <v>6.9080333333333341E-2</v>
      </c>
      <c r="C14" s="17" t="s">
        <v>58</v>
      </c>
      <c r="D14" s="65">
        <v>6.9500000000000006E-2</v>
      </c>
      <c r="E14" s="54" t="s">
        <v>34</v>
      </c>
      <c r="F14" s="54"/>
      <c r="G14" s="54"/>
      <c r="H14" s="54"/>
      <c r="I14" s="26">
        <v>2.17</v>
      </c>
      <c r="J14" s="26">
        <v>3.2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ht="12.75" customHeight="1" x14ac:dyDescent="0.25">
      <c r="A15" s="16"/>
      <c r="B15" s="17"/>
      <c r="C15" s="17"/>
      <c r="E15" s="54" t="s">
        <v>35</v>
      </c>
      <c r="F15" s="54"/>
      <c r="G15" s="54"/>
      <c r="H15" s="54"/>
      <c r="I15" s="27">
        <f>$N$12/I13*I14</f>
        <v>0.38233333333333336</v>
      </c>
      <c r="J15" s="27">
        <f>$N$12/J13*J14</f>
        <v>0.23680000000000001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ht="12.75" customHeight="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24" ht="12" customHeight="1" x14ac:dyDescent="0.25">
      <c r="A17" s="28"/>
      <c r="B17" s="16"/>
      <c r="C17" s="16"/>
      <c r="D17" s="16"/>
      <c r="E17" s="16"/>
      <c r="F17" s="16"/>
      <c r="G17" s="17"/>
      <c r="H17" s="17"/>
      <c r="I17" s="17"/>
      <c r="J17" s="17"/>
      <c r="K17" s="17"/>
      <c r="L17" s="17"/>
      <c r="M17" s="17"/>
    </row>
    <row r="18" spans="1:24" s="30" customFormat="1" ht="12.75" x14ac:dyDescent="0.2">
      <c r="A18" s="29"/>
      <c r="C18" s="30" t="s">
        <v>36</v>
      </c>
      <c r="D18" s="30">
        <f>B12</f>
        <v>2016</v>
      </c>
      <c r="E18" s="30">
        <f>D18+1</f>
        <v>2017</v>
      </c>
      <c r="F18" s="30">
        <f t="shared" ref="F18:M18" si="0">E18+1</f>
        <v>2018</v>
      </c>
      <c r="G18" s="30">
        <f t="shared" si="0"/>
        <v>2019</v>
      </c>
      <c r="H18" s="30">
        <f t="shared" si="0"/>
        <v>2020</v>
      </c>
      <c r="I18" s="30">
        <f t="shared" si="0"/>
        <v>2021</v>
      </c>
      <c r="J18" s="30">
        <f t="shared" si="0"/>
        <v>2022</v>
      </c>
      <c r="K18" s="30">
        <f t="shared" si="0"/>
        <v>2023</v>
      </c>
      <c r="L18" s="30">
        <f t="shared" si="0"/>
        <v>2024</v>
      </c>
      <c r="M18" s="30">
        <f t="shared" si="0"/>
        <v>2025</v>
      </c>
    </row>
    <row r="19" spans="1:24" s="30" customFormat="1" ht="12.75" customHeight="1" x14ac:dyDescent="0.25">
      <c r="A19" s="53" t="s">
        <v>37</v>
      </c>
      <c r="B19" s="53"/>
      <c r="C19" s="30" t="s">
        <v>28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f t="shared" ref="J19:L20" si="1">I19</f>
        <v>0</v>
      </c>
      <c r="K19" s="31">
        <f t="shared" si="1"/>
        <v>0</v>
      </c>
      <c r="L19" s="31">
        <f t="shared" si="1"/>
        <v>0</v>
      </c>
      <c r="M19" s="31">
        <f>L19</f>
        <v>0</v>
      </c>
    </row>
    <row r="20" spans="1:24" s="30" customFormat="1" x14ac:dyDescent="0.25">
      <c r="A20" s="53"/>
      <c r="B20" s="53"/>
      <c r="C20" s="30" t="s">
        <v>38</v>
      </c>
      <c r="D20" s="31">
        <v>1</v>
      </c>
      <c r="E20" s="31">
        <v>1</v>
      </c>
      <c r="F20" s="31">
        <f>1-F19</f>
        <v>1</v>
      </c>
      <c r="G20" s="31">
        <f>1-G19</f>
        <v>1</v>
      </c>
      <c r="H20" s="31">
        <v>0</v>
      </c>
      <c r="I20" s="31">
        <v>0</v>
      </c>
      <c r="J20" s="31">
        <f t="shared" si="1"/>
        <v>0</v>
      </c>
      <c r="K20" s="31">
        <f t="shared" si="1"/>
        <v>0</v>
      </c>
      <c r="L20" s="31">
        <v>0</v>
      </c>
      <c r="M20" s="31">
        <v>0</v>
      </c>
    </row>
    <row r="21" spans="1:24" s="30" customFormat="1" ht="13.5" customHeight="1" x14ac:dyDescent="0.25">
      <c r="A21" s="28"/>
      <c r="B21" s="32"/>
      <c r="C21" s="30" t="s">
        <v>29</v>
      </c>
      <c r="D21" s="31">
        <v>0</v>
      </c>
      <c r="E21" s="31">
        <v>0</v>
      </c>
      <c r="F21" s="31">
        <v>0</v>
      </c>
      <c r="G21" s="31">
        <v>0</v>
      </c>
      <c r="H21" s="31">
        <v>1</v>
      </c>
      <c r="I21" s="31">
        <v>1</v>
      </c>
      <c r="J21" s="31">
        <f>I21</f>
        <v>1</v>
      </c>
      <c r="K21" s="31">
        <f>J21</f>
        <v>1</v>
      </c>
      <c r="L21" s="31">
        <v>1</v>
      </c>
      <c r="M21" s="31">
        <v>1</v>
      </c>
    </row>
    <row r="22" spans="1:24" s="30" customFormat="1" ht="13.5" customHeight="1" x14ac:dyDescent="0.25">
      <c r="A22" s="28"/>
      <c r="B22" s="32"/>
      <c r="D22" s="33"/>
      <c r="E22" s="33"/>
      <c r="F22" s="33"/>
      <c r="G22" s="33"/>
      <c r="H22" s="33"/>
      <c r="I22" s="33"/>
      <c r="J22" s="33"/>
      <c r="K22" s="33"/>
    </row>
    <row r="23" spans="1:24" ht="15.75" thickBot="1" x14ac:dyDescent="0.3">
      <c r="A23" s="16"/>
      <c r="B23" s="17"/>
      <c r="C23" s="34" t="s">
        <v>39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24" ht="15.75" thickBot="1" x14ac:dyDescent="0.3">
      <c r="A24" s="16"/>
      <c r="B24" s="35" t="s">
        <v>40</v>
      </c>
      <c r="C24" s="36">
        <f>NPV(RDR,D24:M24)*(1+RDR)</f>
        <v>1.9314290903307276</v>
      </c>
      <c r="D24" s="37">
        <f>(D20*$I$15)+(D21*$J$15)-I15</f>
        <v>0</v>
      </c>
      <c r="E24" s="37">
        <f t="shared" ref="E24:M24" si="2">(E20*$I$15)+(E21*$J$15)</f>
        <v>0.38233333333333336</v>
      </c>
      <c r="F24" s="37">
        <f t="shared" si="2"/>
        <v>0.38233333333333336</v>
      </c>
      <c r="G24" s="37">
        <f t="shared" si="2"/>
        <v>0.38233333333333336</v>
      </c>
      <c r="H24" s="37">
        <f t="shared" si="2"/>
        <v>0.23680000000000001</v>
      </c>
      <c r="I24" s="37">
        <f t="shared" si="2"/>
        <v>0.23680000000000001</v>
      </c>
      <c r="J24" s="37">
        <f t="shared" si="2"/>
        <v>0.23680000000000001</v>
      </c>
      <c r="K24" s="37">
        <f t="shared" si="2"/>
        <v>0.23680000000000001</v>
      </c>
      <c r="L24" s="37">
        <f t="shared" si="2"/>
        <v>0.23680000000000001</v>
      </c>
      <c r="M24" s="37">
        <f t="shared" si="2"/>
        <v>0.23680000000000001</v>
      </c>
    </row>
    <row r="25" spans="1:24" x14ac:dyDescent="0.25">
      <c r="A25" s="16"/>
      <c r="B25" s="35" t="s">
        <v>41</v>
      </c>
      <c r="C25" s="38">
        <f>-PMT(RDR,B13,C24,,)</f>
        <v>0.2738241809993795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24" ht="15.75" thickBot="1" x14ac:dyDescent="0.3">
      <c r="A26" s="16"/>
      <c r="B26" s="19" t="s">
        <v>42</v>
      </c>
      <c r="C26" s="39">
        <v>1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24" x14ac:dyDescent="0.25">
      <c r="A27" s="16"/>
      <c r="B27" s="19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s="42" customFormat="1" ht="12.75" customHeight="1" x14ac:dyDescent="0.25">
      <c r="A28" s="40"/>
      <c r="B28" s="41"/>
      <c r="C28" s="41"/>
      <c r="I28" s="55" t="s">
        <v>26</v>
      </c>
      <c r="J28" s="56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4" ht="25.5" customHeight="1" x14ac:dyDescent="0.25">
      <c r="A29" s="19" t="s">
        <v>27</v>
      </c>
      <c r="B29" s="20">
        <v>2017</v>
      </c>
      <c r="C29" s="17"/>
      <c r="H29" s="17"/>
      <c r="I29" s="21" t="s">
        <v>55</v>
      </c>
      <c r="J29" s="21" t="s">
        <v>29</v>
      </c>
      <c r="K29" s="17"/>
      <c r="L29" s="17"/>
      <c r="M29" s="22" t="s">
        <v>30</v>
      </c>
      <c r="N29" s="23">
        <f>N12</f>
        <v>740</v>
      </c>
      <c r="O29" s="17"/>
      <c r="P29" s="17"/>
      <c r="Q29" s="17"/>
      <c r="R29" s="17"/>
      <c r="S29" s="17"/>
      <c r="T29" s="17"/>
      <c r="U29" s="17"/>
    </row>
    <row r="30" spans="1:24" ht="12.75" customHeight="1" thickBot="1" x14ac:dyDescent="0.3">
      <c r="A30" s="19" t="s">
        <v>31</v>
      </c>
      <c r="B30" s="24">
        <v>10</v>
      </c>
      <c r="C30" s="17"/>
      <c r="E30" s="54" t="s">
        <v>32</v>
      </c>
      <c r="F30" s="54"/>
      <c r="G30" s="54"/>
      <c r="H30" s="54"/>
      <c r="I30" s="20">
        <f>I13</f>
        <v>4200</v>
      </c>
      <c r="J30" s="20">
        <v>10000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4" ht="12.75" customHeight="1" thickBot="1" x14ac:dyDescent="0.3">
      <c r="A31" s="17" t="s">
        <v>33</v>
      </c>
      <c r="B31" s="25">
        <f>RDR</f>
        <v>6.9080333333333341E-2</v>
      </c>
      <c r="C31" s="17"/>
      <c r="E31" s="54" t="s">
        <v>34</v>
      </c>
      <c r="F31" s="54"/>
      <c r="G31" s="54"/>
      <c r="H31" s="54"/>
      <c r="I31" s="26">
        <f>I14</f>
        <v>2.17</v>
      </c>
      <c r="J31" s="26">
        <f>J14</f>
        <v>3.2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4" ht="12.75" customHeight="1" x14ac:dyDescent="0.25">
      <c r="A32" s="16"/>
      <c r="B32" s="17"/>
      <c r="C32" s="17"/>
      <c r="E32" s="54" t="s">
        <v>35</v>
      </c>
      <c r="F32" s="54"/>
      <c r="G32" s="54"/>
      <c r="H32" s="54"/>
      <c r="I32" s="27">
        <f>$N$12/I30*I31</f>
        <v>0.38233333333333336</v>
      </c>
      <c r="J32" s="27">
        <f>$N$12/J30*J31</f>
        <v>0.23680000000000001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ht="12.75" customHeight="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21" ht="12" customHeight="1" x14ac:dyDescent="0.25">
      <c r="A34" s="28"/>
      <c r="B34" s="16"/>
      <c r="C34" s="16"/>
      <c r="D34" s="16"/>
      <c r="E34" s="16"/>
      <c r="F34" s="16"/>
      <c r="G34" s="17"/>
      <c r="H34" s="17"/>
      <c r="I34" s="17"/>
      <c r="J34" s="17"/>
      <c r="K34" s="17"/>
      <c r="L34" s="17"/>
      <c r="M34" s="17"/>
    </row>
    <row r="35" spans="1:21" s="30" customFormat="1" ht="12.75" x14ac:dyDescent="0.2">
      <c r="A35" s="29"/>
      <c r="C35" s="30" t="s">
        <v>36</v>
      </c>
      <c r="D35" s="30">
        <f>B29</f>
        <v>2017</v>
      </c>
      <c r="E35" s="30">
        <f>D35+1</f>
        <v>2018</v>
      </c>
      <c r="F35" s="30">
        <f t="shared" ref="F35" si="3">E35+1</f>
        <v>2019</v>
      </c>
      <c r="G35" s="30">
        <f t="shared" ref="G35" si="4">F35+1</f>
        <v>2020</v>
      </c>
      <c r="H35" s="30">
        <f t="shared" ref="H35" si="5">G35+1</f>
        <v>2021</v>
      </c>
      <c r="I35" s="30">
        <f t="shared" ref="I35" si="6">H35+1</f>
        <v>2022</v>
      </c>
      <c r="J35" s="30">
        <f t="shared" ref="J35" si="7">I35+1</f>
        <v>2023</v>
      </c>
      <c r="K35" s="30">
        <f t="shared" ref="K35" si="8">J35+1</f>
        <v>2024</v>
      </c>
      <c r="L35" s="30">
        <f t="shared" ref="L35" si="9">K35+1</f>
        <v>2025</v>
      </c>
      <c r="M35" s="30">
        <f t="shared" ref="M35" si="10">L35+1</f>
        <v>2026</v>
      </c>
    </row>
    <row r="36" spans="1:21" s="30" customFormat="1" ht="12.75" customHeight="1" x14ac:dyDescent="0.25">
      <c r="A36" s="53" t="s">
        <v>37</v>
      </c>
      <c r="B36" s="53"/>
      <c r="C36" s="30" t="s">
        <v>28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f t="shared" ref="J36:J37" si="11">I36</f>
        <v>0</v>
      </c>
      <c r="K36" s="31">
        <f t="shared" ref="K36:K37" si="12">J36</f>
        <v>0</v>
      </c>
      <c r="L36" s="31">
        <f t="shared" ref="L36" si="13">K36</f>
        <v>0</v>
      </c>
      <c r="M36" s="31">
        <f>L36</f>
        <v>0</v>
      </c>
    </row>
    <row r="37" spans="1:21" s="30" customFormat="1" x14ac:dyDescent="0.25">
      <c r="A37" s="53"/>
      <c r="B37" s="53"/>
      <c r="C37" s="30" t="s">
        <v>38</v>
      </c>
      <c r="D37" s="31">
        <v>1</v>
      </c>
      <c r="E37" s="31">
        <v>1</v>
      </c>
      <c r="F37" s="31">
        <f>1-F36</f>
        <v>1</v>
      </c>
      <c r="G37" s="31">
        <v>0</v>
      </c>
      <c r="H37" s="31">
        <v>0</v>
      </c>
      <c r="I37" s="31">
        <v>0</v>
      </c>
      <c r="J37" s="31">
        <f t="shared" si="11"/>
        <v>0</v>
      </c>
      <c r="K37" s="31">
        <f t="shared" si="12"/>
        <v>0</v>
      </c>
      <c r="L37" s="31">
        <v>0</v>
      </c>
      <c r="M37" s="31">
        <v>0</v>
      </c>
    </row>
    <row r="38" spans="1:21" s="30" customFormat="1" ht="13.5" customHeight="1" x14ac:dyDescent="0.25">
      <c r="A38" s="28"/>
      <c r="B38" s="32"/>
      <c r="C38" s="30" t="s">
        <v>29</v>
      </c>
      <c r="D38" s="31">
        <v>0</v>
      </c>
      <c r="E38" s="31">
        <v>0</v>
      </c>
      <c r="F38" s="31">
        <v>0</v>
      </c>
      <c r="G38" s="31">
        <v>1</v>
      </c>
      <c r="H38" s="31">
        <v>1</v>
      </c>
      <c r="I38" s="31">
        <v>1</v>
      </c>
      <c r="J38" s="31">
        <f>I38</f>
        <v>1</v>
      </c>
      <c r="K38" s="31">
        <f>J38</f>
        <v>1</v>
      </c>
      <c r="L38" s="31">
        <v>1</v>
      </c>
      <c r="M38" s="31">
        <v>1</v>
      </c>
    </row>
    <row r="39" spans="1:21" s="30" customFormat="1" ht="13.5" customHeight="1" x14ac:dyDescent="0.25">
      <c r="A39" s="28"/>
      <c r="B39" s="32"/>
      <c r="D39" s="33"/>
      <c r="E39" s="33"/>
      <c r="F39" s="33"/>
      <c r="G39" s="33"/>
      <c r="H39" s="33"/>
      <c r="I39" s="33"/>
      <c r="J39" s="33"/>
      <c r="K39" s="33"/>
    </row>
    <row r="40" spans="1:21" ht="15.75" thickBot="1" x14ac:dyDescent="0.3">
      <c r="A40" s="16"/>
      <c r="B40" s="17"/>
      <c r="C40" s="34" t="s">
        <v>39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21" ht="15.75" thickBot="1" x14ac:dyDescent="0.3">
      <c r="A41" s="16"/>
      <c r="B41" s="35" t="s">
        <v>40</v>
      </c>
      <c r="C41" s="36">
        <f>NPV(RDR,D41:M41)*(1+RDR)</f>
        <v>1.8123236893701264</v>
      </c>
      <c r="D41" s="37">
        <f>(D37*$I$15)+(D38*$J$15)-I32</f>
        <v>0</v>
      </c>
      <c r="E41" s="37">
        <f t="shared" ref="E41:M41" si="14">(E37*$I$15)+(E38*$J$15)</f>
        <v>0.38233333333333336</v>
      </c>
      <c r="F41" s="37">
        <f t="shared" si="14"/>
        <v>0.38233333333333336</v>
      </c>
      <c r="G41" s="37">
        <f t="shared" si="14"/>
        <v>0.23680000000000001</v>
      </c>
      <c r="H41" s="37">
        <f t="shared" si="14"/>
        <v>0.23680000000000001</v>
      </c>
      <c r="I41" s="37">
        <f t="shared" si="14"/>
        <v>0.23680000000000001</v>
      </c>
      <c r="J41" s="37">
        <f t="shared" si="14"/>
        <v>0.23680000000000001</v>
      </c>
      <c r="K41" s="37">
        <f t="shared" si="14"/>
        <v>0.23680000000000001</v>
      </c>
      <c r="L41" s="37">
        <f t="shared" si="14"/>
        <v>0.23680000000000001</v>
      </c>
      <c r="M41" s="37">
        <f t="shared" si="14"/>
        <v>0.23680000000000001</v>
      </c>
    </row>
    <row r="42" spans="1:21" x14ac:dyDescent="0.25">
      <c r="A42" s="16"/>
      <c r="B42" s="35" t="s">
        <v>41</v>
      </c>
      <c r="C42" s="38">
        <f>-PMT(RDR,B30,C41,,)</f>
        <v>0.25693827044024287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21" ht="15.75" thickBot="1" x14ac:dyDescent="0.3">
      <c r="A43" s="16"/>
      <c r="B43" s="19" t="s">
        <v>42</v>
      </c>
      <c r="C43" s="39">
        <v>1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5" spans="1:21" s="42" customFormat="1" ht="12.75" customHeight="1" x14ac:dyDescent="0.25">
      <c r="A45" s="40"/>
      <c r="B45" s="41"/>
      <c r="C45" s="41"/>
      <c r="I45" s="55" t="s">
        <v>26</v>
      </c>
      <c r="J45" s="56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pans="1:21" ht="25.5" customHeight="1" x14ac:dyDescent="0.25">
      <c r="A46" s="19" t="s">
        <v>27</v>
      </c>
      <c r="B46" s="20">
        <v>2018</v>
      </c>
      <c r="C46" s="17"/>
      <c r="H46" s="17"/>
      <c r="I46" s="21" t="s">
        <v>55</v>
      </c>
      <c r="J46" s="21" t="s">
        <v>29</v>
      </c>
      <c r="K46" s="17"/>
      <c r="L46" s="17"/>
      <c r="M46" s="22" t="s">
        <v>30</v>
      </c>
      <c r="N46" s="23">
        <f>N12</f>
        <v>740</v>
      </c>
      <c r="O46" s="17"/>
      <c r="P46" s="17"/>
      <c r="Q46" s="17"/>
      <c r="R46" s="17"/>
      <c r="S46" s="17"/>
      <c r="T46" s="17"/>
      <c r="U46" s="17"/>
    </row>
    <row r="47" spans="1:21" ht="12.75" customHeight="1" thickBot="1" x14ac:dyDescent="0.3">
      <c r="A47" s="19" t="s">
        <v>31</v>
      </c>
      <c r="B47" s="24">
        <v>10</v>
      </c>
      <c r="C47" s="17"/>
      <c r="E47" s="54" t="s">
        <v>32</v>
      </c>
      <c r="F47" s="54"/>
      <c r="G47" s="54"/>
      <c r="H47" s="54"/>
      <c r="I47" s="20">
        <f>I30</f>
        <v>4200</v>
      </c>
      <c r="J47" s="20">
        <v>10000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2.75" customHeight="1" thickBot="1" x14ac:dyDescent="0.3">
      <c r="A48" s="17" t="s">
        <v>33</v>
      </c>
      <c r="B48" s="25">
        <f>RDR</f>
        <v>6.9080333333333341E-2</v>
      </c>
      <c r="C48" s="17"/>
      <c r="E48" s="54" t="s">
        <v>34</v>
      </c>
      <c r="F48" s="54"/>
      <c r="G48" s="54"/>
      <c r="H48" s="54"/>
      <c r="I48" s="26">
        <f>I31</f>
        <v>2.17</v>
      </c>
      <c r="J48" s="26">
        <f>J31</f>
        <v>3.2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ht="12.75" customHeight="1" x14ac:dyDescent="0.25">
      <c r="A49" s="16"/>
      <c r="B49" s="17"/>
      <c r="C49" s="17"/>
      <c r="E49" s="54" t="s">
        <v>35</v>
      </c>
      <c r="F49" s="54"/>
      <c r="G49" s="54"/>
      <c r="H49" s="54"/>
      <c r="I49" s="27">
        <f>$N$12/I47*I48</f>
        <v>0.38233333333333336</v>
      </c>
      <c r="J49" s="27">
        <f>$N$12/J47*J48</f>
        <v>0.23680000000000001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ht="12.75" customHeight="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21" ht="12" customHeight="1" x14ac:dyDescent="0.25">
      <c r="A51" s="28"/>
      <c r="B51" s="16"/>
      <c r="C51" s="16"/>
      <c r="D51" s="16"/>
      <c r="E51" s="16"/>
      <c r="F51" s="16"/>
      <c r="G51" s="17"/>
      <c r="H51" s="17"/>
      <c r="I51" s="17"/>
      <c r="J51" s="17"/>
      <c r="K51" s="17"/>
      <c r="L51" s="17"/>
      <c r="M51" s="17"/>
    </row>
    <row r="52" spans="1:21" s="30" customFormat="1" ht="12.75" x14ac:dyDescent="0.2">
      <c r="A52" s="29"/>
      <c r="C52" s="30" t="s">
        <v>36</v>
      </c>
      <c r="D52" s="30">
        <f>B46</f>
        <v>2018</v>
      </c>
      <c r="E52" s="30">
        <f>D52+1</f>
        <v>2019</v>
      </c>
      <c r="F52" s="30">
        <f t="shared" ref="F52" si="15">E52+1</f>
        <v>2020</v>
      </c>
      <c r="G52" s="30">
        <f t="shared" ref="G52" si="16">F52+1</f>
        <v>2021</v>
      </c>
      <c r="H52" s="30">
        <f t="shared" ref="H52" si="17">G52+1</f>
        <v>2022</v>
      </c>
      <c r="I52" s="30">
        <f t="shared" ref="I52" si="18">H52+1</f>
        <v>2023</v>
      </c>
      <c r="J52" s="30">
        <f t="shared" ref="J52" si="19">I52+1</f>
        <v>2024</v>
      </c>
      <c r="K52" s="30">
        <f t="shared" ref="K52" si="20">J52+1</f>
        <v>2025</v>
      </c>
      <c r="L52" s="30">
        <f t="shared" ref="L52" si="21">K52+1</f>
        <v>2026</v>
      </c>
      <c r="M52" s="30">
        <f t="shared" ref="M52" si="22">L52+1</f>
        <v>2027</v>
      </c>
    </row>
    <row r="53" spans="1:21" s="30" customFormat="1" ht="12.75" customHeight="1" x14ac:dyDescent="0.25">
      <c r="A53" s="53" t="s">
        <v>37</v>
      </c>
      <c r="B53" s="53"/>
      <c r="C53" s="30" t="s">
        <v>28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f t="shared" ref="J53:J54" si="23">I53</f>
        <v>0</v>
      </c>
      <c r="K53" s="31">
        <f t="shared" ref="K53:K54" si="24">J53</f>
        <v>0</v>
      </c>
      <c r="L53" s="31">
        <f t="shared" ref="L53" si="25">K53</f>
        <v>0</v>
      </c>
      <c r="M53" s="31">
        <f>L53</f>
        <v>0</v>
      </c>
    </row>
    <row r="54" spans="1:21" s="30" customFormat="1" x14ac:dyDescent="0.25">
      <c r="A54" s="53"/>
      <c r="B54" s="53"/>
      <c r="C54" s="30" t="s">
        <v>38</v>
      </c>
      <c r="D54" s="31">
        <v>1</v>
      </c>
      <c r="E54" s="31">
        <v>1</v>
      </c>
      <c r="F54" s="31">
        <v>0</v>
      </c>
      <c r="G54" s="31">
        <v>0</v>
      </c>
      <c r="H54" s="31">
        <v>0</v>
      </c>
      <c r="I54" s="31">
        <v>0</v>
      </c>
      <c r="J54" s="31">
        <f t="shared" si="23"/>
        <v>0</v>
      </c>
      <c r="K54" s="31">
        <f t="shared" si="24"/>
        <v>0</v>
      </c>
      <c r="L54" s="31">
        <v>0</v>
      </c>
      <c r="M54" s="31">
        <v>0</v>
      </c>
    </row>
    <row r="55" spans="1:21" s="30" customFormat="1" ht="13.5" customHeight="1" x14ac:dyDescent="0.25">
      <c r="A55" s="28"/>
      <c r="B55" s="32"/>
      <c r="C55" s="30" t="s">
        <v>29</v>
      </c>
      <c r="D55" s="31">
        <v>0</v>
      </c>
      <c r="E55" s="31">
        <v>0</v>
      </c>
      <c r="F55" s="31">
        <v>1</v>
      </c>
      <c r="G55" s="31">
        <v>1</v>
      </c>
      <c r="H55" s="31">
        <v>1</v>
      </c>
      <c r="I55" s="31">
        <v>1</v>
      </c>
      <c r="J55" s="31">
        <f>I55</f>
        <v>1</v>
      </c>
      <c r="K55" s="31">
        <f>J55</f>
        <v>1</v>
      </c>
      <c r="L55" s="31">
        <v>1</v>
      </c>
      <c r="M55" s="31">
        <v>1</v>
      </c>
    </row>
    <row r="56" spans="1:21" s="30" customFormat="1" ht="13.5" customHeight="1" x14ac:dyDescent="0.25">
      <c r="A56" s="28"/>
      <c r="B56" s="32"/>
      <c r="D56" s="33"/>
      <c r="E56" s="33"/>
      <c r="F56" s="33"/>
      <c r="G56" s="33"/>
      <c r="H56" s="33"/>
      <c r="I56" s="33"/>
      <c r="J56" s="33"/>
      <c r="K56" s="33"/>
    </row>
    <row r="57" spans="1:21" ht="15.75" thickBot="1" x14ac:dyDescent="0.3">
      <c r="A57" s="16"/>
      <c r="B57" s="17"/>
      <c r="C57" s="34" t="s">
        <v>39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21" ht="15.75" thickBot="1" x14ac:dyDescent="0.3">
      <c r="A58" s="16"/>
      <c r="B58" s="35" t="s">
        <v>40</v>
      </c>
      <c r="C58" s="36">
        <f>NPV(RDR,D58:M58)*(1+RDR)</f>
        <v>1.6849904476093667</v>
      </c>
      <c r="D58" s="37">
        <f>(D54*$I$15)+(D55*$J$15)-I49</f>
        <v>0</v>
      </c>
      <c r="E58" s="37">
        <f>(E54*$I$15)+(E55*$J$15)</f>
        <v>0.38233333333333336</v>
      </c>
      <c r="F58" s="37">
        <f t="shared" ref="F58:M58" si="26">(F54*$I$15)+(F55*$J$15)</f>
        <v>0.23680000000000001</v>
      </c>
      <c r="G58" s="37">
        <f t="shared" si="26"/>
        <v>0.23680000000000001</v>
      </c>
      <c r="H58" s="37">
        <f t="shared" si="26"/>
        <v>0.23680000000000001</v>
      </c>
      <c r="I58" s="37">
        <f t="shared" si="26"/>
        <v>0.23680000000000001</v>
      </c>
      <c r="J58" s="37">
        <f t="shared" si="26"/>
        <v>0.23680000000000001</v>
      </c>
      <c r="K58" s="37">
        <f t="shared" si="26"/>
        <v>0.23680000000000001</v>
      </c>
      <c r="L58" s="37">
        <f t="shared" si="26"/>
        <v>0.23680000000000001</v>
      </c>
      <c r="M58" s="37">
        <f t="shared" si="26"/>
        <v>0.23680000000000001</v>
      </c>
    </row>
    <row r="59" spans="1:21" x14ac:dyDescent="0.25">
      <c r="A59" s="16"/>
      <c r="B59" s="35" t="s">
        <v>41</v>
      </c>
      <c r="C59" s="38">
        <f>-PMT(RDR,B47,C58,,)</f>
        <v>0.23888587555104421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21" ht="15.75" thickBot="1" x14ac:dyDescent="0.3">
      <c r="A60" s="16"/>
      <c r="B60" s="19" t="s">
        <v>42</v>
      </c>
      <c r="C60" s="39">
        <v>1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3" spans="1:21" s="43" customFormat="1" x14ac:dyDescent="0.25"/>
    <row r="64" spans="1:21" ht="12.75" customHeight="1" x14ac:dyDescent="0.25">
      <c r="A64" s="16" t="s">
        <v>44</v>
      </c>
      <c r="B64" s="17"/>
      <c r="C64" s="17"/>
      <c r="I64" s="57" t="s">
        <v>26</v>
      </c>
      <c r="J64" s="58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4" ht="25.5" customHeight="1" x14ac:dyDescent="0.25">
      <c r="A65" s="19" t="s">
        <v>27</v>
      </c>
      <c r="B65" s="20">
        <v>2016</v>
      </c>
      <c r="C65" s="17"/>
      <c r="H65" s="17"/>
      <c r="I65" s="21" t="s">
        <v>55</v>
      </c>
      <c r="J65" s="21" t="s">
        <v>29</v>
      </c>
      <c r="K65" s="17"/>
      <c r="L65" s="17"/>
      <c r="M65" s="22" t="s">
        <v>30</v>
      </c>
      <c r="N65" s="23">
        <v>1314</v>
      </c>
      <c r="O65" s="17"/>
      <c r="P65" s="17"/>
      <c r="Q65" s="17"/>
      <c r="R65" s="17"/>
      <c r="S65" s="17"/>
      <c r="T65" s="17"/>
      <c r="U65" s="17"/>
    </row>
    <row r="66" spans="1:24" ht="12.75" customHeight="1" thickBot="1" x14ac:dyDescent="0.3">
      <c r="A66" s="19" t="s">
        <v>31</v>
      </c>
      <c r="B66" s="24">
        <v>8</v>
      </c>
      <c r="C66" s="17"/>
      <c r="E66" s="54" t="s">
        <v>32</v>
      </c>
      <c r="F66" s="54"/>
      <c r="G66" s="54"/>
      <c r="H66" s="54"/>
      <c r="I66" s="20">
        <f>I47</f>
        <v>4200</v>
      </c>
      <c r="J66" s="20">
        <v>10000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4" ht="12.75" customHeight="1" thickBot="1" x14ac:dyDescent="0.3">
      <c r="A67" s="17" t="s">
        <v>33</v>
      </c>
      <c r="B67" s="25">
        <f>RDR</f>
        <v>6.9080333333333341E-2</v>
      </c>
      <c r="C67" s="17"/>
      <c r="E67" s="54" t="s">
        <v>34</v>
      </c>
      <c r="F67" s="54"/>
      <c r="G67" s="54"/>
      <c r="H67" s="54"/>
      <c r="I67" s="26">
        <f>I48</f>
        <v>2.17</v>
      </c>
      <c r="J67" s="26">
        <v>3.2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4" ht="12.75" customHeight="1" x14ac:dyDescent="0.25">
      <c r="A68" s="16"/>
      <c r="B68" s="17"/>
      <c r="C68" s="17"/>
      <c r="E68" s="54" t="s">
        <v>35</v>
      </c>
      <c r="F68" s="54"/>
      <c r="G68" s="54"/>
      <c r="H68" s="54"/>
      <c r="I68" s="27">
        <f>$N$65/I66*I67</f>
        <v>0.67889999999999995</v>
      </c>
      <c r="J68" s="27">
        <f>$N$65/J66*J67</f>
        <v>0.42047999999999996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4" ht="12.75" customHeight="1" x14ac:dyDescent="0.25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30"/>
      <c r="M69" s="30"/>
    </row>
    <row r="70" spans="1:24" ht="12" customHeight="1" x14ac:dyDescent="0.25">
      <c r="A70" s="28"/>
      <c r="B70" s="16"/>
      <c r="C70" s="16"/>
      <c r="D70" s="16"/>
      <c r="E70" s="16"/>
      <c r="F70" s="16"/>
      <c r="G70" s="17"/>
      <c r="H70" s="17"/>
      <c r="I70" s="17"/>
      <c r="J70" s="17"/>
      <c r="K70" s="17"/>
      <c r="L70" s="30"/>
      <c r="M70" s="30"/>
    </row>
    <row r="71" spans="1:24" s="30" customFormat="1" ht="12.75" x14ac:dyDescent="0.2">
      <c r="A71" s="29"/>
      <c r="C71" s="30" t="s">
        <v>36</v>
      </c>
      <c r="D71" s="30">
        <f>B65</f>
        <v>2016</v>
      </c>
      <c r="E71" s="30">
        <f>D71+1</f>
        <v>2017</v>
      </c>
      <c r="F71" s="30">
        <f t="shared" ref="F71" si="27">E71+1</f>
        <v>2018</v>
      </c>
      <c r="G71" s="30">
        <f t="shared" ref="G71" si="28">F71+1</f>
        <v>2019</v>
      </c>
      <c r="H71" s="30">
        <f t="shared" ref="H71" si="29">G71+1</f>
        <v>2020</v>
      </c>
      <c r="I71" s="30">
        <f t="shared" ref="I71" si="30">H71+1</f>
        <v>2021</v>
      </c>
      <c r="J71" s="30">
        <f t="shared" ref="J71" si="31">I71+1</f>
        <v>2022</v>
      </c>
      <c r="K71" s="30">
        <f t="shared" ref="K71" si="32">J71+1</f>
        <v>2023</v>
      </c>
    </row>
    <row r="72" spans="1:24" s="30" customFormat="1" ht="12.75" customHeight="1" x14ac:dyDescent="0.25">
      <c r="A72" s="53" t="s">
        <v>37</v>
      </c>
      <c r="B72" s="53"/>
      <c r="C72" s="30" t="s">
        <v>28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f t="shared" ref="J72:J73" si="33">I72</f>
        <v>0</v>
      </c>
      <c r="K72" s="31">
        <f t="shared" ref="K72:K73" si="34">J72</f>
        <v>0</v>
      </c>
    </row>
    <row r="73" spans="1:24" s="30" customFormat="1" x14ac:dyDescent="0.25">
      <c r="A73" s="53"/>
      <c r="B73" s="53"/>
      <c r="C73" s="30" t="s">
        <v>38</v>
      </c>
      <c r="D73" s="31">
        <v>1</v>
      </c>
      <c r="E73" s="31">
        <v>1</v>
      </c>
      <c r="F73" s="31">
        <f>1-F72</f>
        <v>1</v>
      </c>
      <c r="G73" s="31">
        <f>1-G72</f>
        <v>1</v>
      </c>
      <c r="H73" s="31">
        <v>0</v>
      </c>
      <c r="I73" s="31">
        <v>0</v>
      </c>
      <c r="J73" s="31">
        <f t="shared" si="33"/>
        <v>0</v>
      </c>
      <c r="K73" s="31">
        <f t="shared" si="34"/>
        <v>0</v>
      </c>
    </row>
    <row r="74" spans="1:24" s="30" customFormat="1" ht="13.5" customHeight="1" x14ac:dyDescent="0.25">
      <c r="A74" s="28"/>
      <c r="B74" s="32"/>
      <c r="C74" s="30" t="s">
        <v>29</v>
      </c>
      <c r="D74" s="31">
        <v>0</v>
      </c>
      <c r="E74" s="31">
        <v>0</v>
      </c>
      <c r="F74" s="31">
        <v>0</v>
      </c>
      <c r="G74" s="31">
        <v>0</v>
      </c>
      <c r="H74" s="31">
        <v>1</v>
      </c>
      <c r="I74" s="31">
        <v>1</v>
      </c>
      <c r="J74" s="31">
        <f>I74</f>
        <v>1</v>
      </c>
      <c r="K74" s="31">
        <f>J74</f>
        <v>1</v>
      </c>
    </row>
    <row r="75" spans="1:24" s="30" customFormat="1" ht="13.5" customHeight="1" x14ac:dyDescent="0.25">
      <c r="A75" s="28"/>
      <c r="B75" s="32"/>
      <c r="D75" s="33"/>
      <c r="E75" s="33"/>
      <c r="F75" s="33"/>
      <c r="G75" s="33"/>
      <c r="H75" s="33"/>
      <c r="I75" s="33"/>
      <c r="J75" s="33"/>
      <c r="K75" s="33"/>
    </row>
    <row r="76" spans="1:24" ht="15.75" thickBot="1" x14ac:dyDescent="0.3">
      <c r="A76" s="16"/>
      <c r="B76" s="17"/>
      <c r="C76" s="34" t="s">
        <v>39</v>
      </c>
      <c r="D76" s="17"/>
      <c r="E76" s="17"/>
      <c r="F76" s="17"/>
      <c r="G76" s="17"/>
      <c r="H76" s="17"/>
      <c r="I76" s="17"/>
      <c r="J76" s="17"/>
      <c r="K76" s="17"/>
      <c r="L76" s="30"/>
      <c r="M76" s="30"/>
    </row>
    <row r="77" spans="1:24" ht="15.75" thickBot="1" x14ac:dyDescent="0.3">
      <c r="A77" s="16"/>
      <c r="B77" s="35" t="s">
        <v>40</v>
      </c>
      <c r="C77" s="36">
        <f>NPV(RDR,D77:M77)*(1+RDR)</f>
        <v>2.95268911802293</v>
      </c>
      <c r="D77" s="37">
        <f>(D73*$I$68)+(D74*$J$68)-I68</f>
        <v>0</v>
      </c>
      <c r="E77" s="37">
        <f>(E73*$I$68)+(E74*$J$68)</f>
        <v>0.67889999999999995</v>
      </c>
      <c r="F77" s="37">
        <f t="shared" ref="F77:K77" si="35">(F73*$I$68)+(F74*$J$68)</f>
        <v>0.67889999999999995</v>
      </c>
      <c r="G77" s="37">
        <f t="shared" si="35"/>
        <v>0.67889999999999995</v>
      </c>
      <c r="H77" s="37">
        <f t="shared" si="35"/>
        <v>0.42047999999999996</v>
      </c>
      <c r="I77" s="37">
        <f t="shared" si="35"/>
        <v>0.42047999999999996</v>
      </c>
      <c r="J77" s="37">
        <f t="shared" si="35"/>
        <v>0.42047999999999996</v>
      </c>
      <c r="K77" s="37">
        <f t="shared" si="35"/>
        <v>0.42047999999999996</v>
      </c>
      <c r="L77" s="30"/>
      <c r="M77" s="30"/>
    </row>
    <row r="78" spans="1:24" x14ac:dyDescent="0.25">
      <c r="A78" s="16"/>
      <c r="B78" s="35" t="s">
        <v>41</v>
      </c>
      <c r="C78" s="38">
        <f>-PMT(RDR,B66,C77,,)</f>
        <v>0.49271937193393078</v>
      </c>
      <c r="D78" s="17"/>
      <c r="E78" s="17"/>
      <c r="F78" s="17"/>
      <c r="G78" s="17"/>
      <c r="H78" s="17"/>
      <c r="I78" s="17"/>
      <c r="J78" s="17"/>
      <c r="K78" s="17"/>
      <c r="L78" s="30"/>
      <c r="M78" s="30"/>
    </row>
    <row r="79" spans="1:24" ht="15.75" thickBot="1" x14ac:dyDescent="0.3">
      <c r="A79" s="16"/>
      <c r="B79" s="19" t="s">
        <v>42</v>
      </c>
      <c r="C79" s="39">
        <v>1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24" x14ac:dyDescent="0.25">
      <c r="A80" s="16"/>
      <c r="B80" s="19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1" s="42" customFormat="1" ht="12.75" customHeight="1" x14ac:dyDescent="0.25">
      <c r="A81" s="40"/>
      <c r="B81" s="41"/>
      <c r="C81" s="41"/>
      <c r="I81" s="55" t="s">
        <v>26</v>
      </c>
      <c r="J81" s="56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</row>
    <row r="82" spans="1:21" ht="25.5" customHeight="1" x14ac:dyDescent="0.25">
      <c r="A82" s="19" t="s">
        <v>27</v>
      </c>
      <c r="B82" s="20">
        <v>2017</v>
      </c>
      <c r="C82" s="17"/>
      <c r="H82" s="17"/>
      <c r="I82" s="21" t="s">
        <v>55</v>
      </c>
      <c r="J82" s="21" t="s">
        <v>29</v>
      </c>
      <c r="K82" s="17"/>
      <c r="L82" s="17"/>
      <c r="M82" s="22" t="s">
        <v>30</v>
      </c>
      <c r="N82" s="23">
        <f>N65</f>
        <v>1314</v>
      </c>
      <c r="O82" s="17"/>
      <c r="P82" s="17"/>
      <c r="Q82" s="17"/>
      <c r="R82" s="17"/>
      <c r="S82" s="17"/>
      <c r="T82" s="17"/>
      <c r="U82" s="17"/>
    </row>
    <row r="83" spans="1:21" ht="12.75" customHeight="1" thickBot="1" x14ac:dyDescent="0.3">
      <c r="A83" s="19" t="s">
        <v>31</v>
      </c>
      <c r="B83" s="24">
        <v>8</v>
      </c>
      <c r="C83" s="17"/>
      <c r="E83" s="54" t="s">
        <v>32</v>
      </c>
      <c r="F83" s="54"/>
      <c r="G83" s="54"/>
      <c r="H83" s="54"/>
      <c r="I83" s="20">
        <f>I66</f>
        <v>4200</v>
      </c>
      <c r="J83" s="20">
        <v>10000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ht="12.75" customHeight="1" thickBot="1" x14ac:dyDescent="0.3">
      <c r="A84" s="17" t="s">
        <v>33</v>
      </c>
      <c r="B84" s="25">
        <f>RDR</f>
        <v>6.9080333333333341E-2</v>
      </c>
      <c r="C84" s="17"/>
      <c r="E84" s="54" t="s">
        <v>34</v>
      </c>
      <c r="F84" s="54"/>
      <c r="G84" s="54"/>
      <c r="H84" s="54"/>
      <c r="I84" s="26">
        <f>I67</f>
        <v>2.17</v>
      </c>
      <c r="J84" s="26">
        <f>J67</f>
        <v>3.2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ht="12.75" customHeight="1" x14ac:dyDescent="0.25">
      <c r="A85" s="16"/>
      <c r="B85" s="17"/>
      <c r="C85" s="17"/>
      <c r="E85" s="54" t="s">
        <v>35</v>
      </c>
      <c r="F85" s="54"/>
      <c r="G85" s="54"/>
      <c r="H85" s="54"/>
      <c r="I85" s="27">
        <f>$N$65/I83*I84</f>
        <v>0.67889999999999995</v>
      </c>
      <c r="J85" s="27">
        <f>$N$65/J83*J84</f>
        <v>0.42047999999999996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ht="12.75" customHeight="1" x14ac:dyDescent="0.25">
      <c r="A86" s="16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30"/>
      <c r="M86" s="30"/>
    </row>
    <row r="87" spans="1:21" ht="12" customHeight="1" x14ac:dyDescent="0.25">
      <c r="A87" s="28"/>
      <c r="B87" s="16"/>
      <c r="C87" s="16"/>
      <c r="D87" s="16"/>
      <c r="E87" s="16"/>
      <c r="F87" s="16"/>
      <c r="G87" s="17"/>
      <c r="H87" s="17"/>
      <c r="I87" s="17"/>
      <c r="J87" s="17"/>
      <c r="K87" s="17"/>
      <c r="L87" s="30"/>
      <c r="M87" s="30"/>
    </row>
    <row r="88" spans="1:21" s="30" customFormat="1" ht="12.75" x14ac:dyDescent="0.2">
      <c r="A88" s="29"/>
      <c r="C88" s="30" t="s">
        <v>36</v>
      </c>
      <c r="D88" s="30">
        <f>B82</f>
        <v>2017</v>
      </c>
      <c r="E88" s="30">
        <f>D88+1</f>
        <v>2018</v>
      </c>
      <c r="F88" s="30">
        <f t="shared" ref="F88" si="36">E88+1</f>
        <v>2019</v>
      </c>
      <c r="G88" s="30">
        <f t="shared" ref="G88" si="37">F88+1</f>
        <v>2020</v>
      </c>
      <c r="H88" s="30">
        <f t="shared" ref="H88" si="38">G88+1</f>
        <v>2021</v>
      </c>
      <c r="I88" s="30">
        <f t="shared" ref="I88" si="39">H88+1</f>
        <v>2022</v>
      </c>
      <c r="J88" s="30">
        <f t="shared" ref="J88" si="40">I88+1</f>
        <v>2023</v>
      </c>
      <c r="K88" s="30">
        <f t="shared" ref="K88" si="41">J88+1</f>
        <v>2024</v>
      </c>
    </row>
    <row r="89" spans="1:21" s="30" customFormat="1" ht="12.75" customHeight="1" x14ac:dyDescent="0.25">
      <c r="A89" s="53" t="s">
        <v>37</v>
      </c>
      <c r="B89" s="53"/>
      <c r="C89" s="30" t="s">
        <v>28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f t="shared" ref="J89:J90" si="42">I89</f>
        <v>0</v>
      </c>
      <c r="K89" s="31">
        <f t="shared" ref="K89:K90" si="43">J89</f>
        <v>0</v>
      </c>
    </row>
    <row r="90" spans="1:21" s="30" customFormat="1" x14ac:dyDescent="0.25">
      <c r="A90" s="53"/>
      <c r="B90" s="53"/>
      <c r="C90" s="30" t="s">
        <v>38</v>
      </c>
      <c r="D90" s="31">
        <v>1</v>
      </c>
      <c r="E90" s="31">
        <v>1</v>
      </c>
      <c r="F90" s="31">
        <f>1-F89</f>
        <v>1</v>
      </c>
      <c r="G90" s="31">
        <v>0</v>
      </c>
      <c r="H90" s="31">
        <v>0</v>
      </c>
      <c r="I90" s="31">
        <v>0</v>
      </c>
      <c r="J90" s="31">
        <f t="shared" si="42"/>
        <v>0</v>
      </c>
      <c r="K90" s="31">
        <f t="shared" si="43"/>
        <v>0</v>
      </c>
    </row>
    <row r="91" spans="1:21" s="30" customFormat="1" ht="13.5" customHeight="1" x14ac:dyDescent="0.25">
      <c r="A91" s="28"/>
      <c r="B91" s="32"/>
      <c r="C91" s="30" t="s">
        <v>29</v>
      </c>
      <c r="D91" s="31">
        <v>0</v>
      </c>
      <c r="E91" s="31">
        <v>0</v>
      </c>
      <c r="F91" s="31">
        <v>0</v>
      </c>
      <c r="G91" s="31">
        <v>1</v>
      </c>
      <c r="H91" s="31">
        <v>1</v>
      </c>
      <c r="I91" s="31">
        <v>1</v>
      </c>
      <c r="J91" s="31">
        <f>I91</f>
        <v>1</v>
      </c>
      <c r="K91" s="31">
        <f>J91</f>
        <v>1</v>
      </c>
    </row>
    <row r="92" spans="1:21" s="30" customFormat="1" ht="13.5" customHeight="1" x14ac:dyDescent="0.25">
      <c r="A92" s="28"/>
      <c r="B92" s="32"/>
      <c r="D92" s="33"/>
      <c r="E92" s="33"/>
      <c r="F92" s="33"/>
      <c r="G92" s="33"/>
      <c r="H92" s="33"/>
      <c r="I92" s="33"/>
      <c r="J92" s="33"/>
      <c r="K92" s="33"/>
    </row>
    <row r="93" spans="1:21" ht="15.75" thickBot="1" x14ac:dyDescent="0.3">
      <c r="A93" s="16"/>
      <c r="B93" s="17"/>
      <c r="C93" s="34" t="s">
        <v>39</v>
      </c>
      <c r="D93" s="17"/>
      <c r="E93" s="17"/>
      <c r="F93" s="17"/>
      <c r="G93" s="17"/>
      <c r="H93" s="17"/>
      <c r="I93" s="17"/>
      <c r="J93" s="17"/>
      <c r="K93" s="17"/>
      <c r="L93" s="30"/>
      <c r="M93" s="30"/>
    </row>
    <row r="94" spans="1:21" ht="15.75" thickBot="1" x14ac:dyDescent="0.3">
      <c r="A94" s="16"/>
      <c r="B94" s="35" t="s">
        <v>40</v>
      </c>
      <c r="C94" s="36">
        <f>NPV(RDR,D94:M94)*(1+RDR)</f>
        <v>2.7411965546955925</v>
      </c>
      <c r="D94" s="37">
        <f>(D90*$I$68)+(D91*$J$68)-I85</f>
        <v>0</v>
      </c>
      <c r="E94" s="37">
        <f>(E90*$I$68)+(E91*$J$68)</f>
        <v>0.67889999999999995</v>
      </c>
      <c r="F94" s="37">
        <f t="shared" ref="F94:K94" si="44">(F90*$I$68)+(F91*$J$68)</f>
        <v>0.67889999999999995</v>
      </c>
      <c r="G94" s="37">
        <f t="shared" si="44"/>
        <v>0.42047999999999996</v>
      </c>
      <c r="H94" s="37">
        <f t="shared" si="44"/>
        <v>0.42047999999999996</v>
      </c>
      <c r="I94" s="37">
        <f t="shared" si="44"/>
        <v>0.42047999999999996</v>
      </c>
      <c r="J94" s="37">
        <f t="shared" si="44"/>
        <v>0.42047999999999996</v>
      </c>
      <c r="K94" s="37">
        <f t="shared" si="44"/>
        <v>0.42047999999999996</v>
      </c>
      <c r="L94" s="30"/>
      <c r="M94" s="30"/>
    </row>
    <row r="95" spans="1:21" x14ac:dyDescent="0.25">
      <c r="A95" s="16"/>
      <c r="B95" s="35" t="s">
        <v>41</v>
      </c>
      <c r="C95" s="38">
        <f>-PMT(RDR,B83,C94,,)</f>
        <v>0.45742731144057364</v>
      </c>
      <c r="D95" s="17"/>
      <c r="E95" s="17"/>
      <c r="F95" s="17"/>
      <c r="G95" s="17"/>
      <c r="H95" s="17"/>
      <c r="I95" s="17"/>
      <c r="J95" s="17"/>
      <c r="K95" s="17"/>
      <c r="L95" s="30"/>
      <c r="M95" s="30"/>
    </row>
    <row r="96" spans="1:21" ht="15.75" thickBot="1" x14ac:dyDescent="0.3">
      <c r="A96" s="16"/>
      <c r="B96" s="19" t="s">
        <v>42</v>
      </c>
      <c r="C96" s="39">
        <v>1</v>
      </c>
      <c r="D96" s="17"/>
      <c r="E96" s="17"/>
      <c r="F96" s="17"/>
      <c r="G96" s="17"/>
      <c r="H96" s="17"/>
      <c r="I96" s="17"/>
      <c r="J96" s="17"/>
      <c r="K96" s="17"/>
      <c r="L96" s="30"/>
      <c r="M96" s="30"/>
    </row>
    <row r="98" spans="1:21" s="42" customFormat="1" ht="12.75" customHeight="1" x14ac:dyDescent="0.25">
      <c r="A98" s="40"/>
      <c r="B98" s="41"/>
      <c r="C98" s="41"/>
      <c r="I98" s="55" t="s">
        <v>26</v>
      </c>
      <c r="J98" s="56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</row>
    <row r="99" spans="1:21" ht="25.5" customHeight="1" x14ac:dyDescent="0.25">
      <c r="A99" s="19" t="s">
        <v>27</v>
      </c>
      <c r="B99" s="20">
        <v>2018</v>
      </c>
      <c r="C99" s="17"/>
      <c r="H99" s="17"/>
      <c r="I99" s="21" t="s">
        <v>55</v>
      </c>
      <c r="J99" s="21" t="s">
        <v>29</v>
      </c>
      <c r="K99" s="17"/>
      <c r="L99" s="17"/>
      <c r="M99" s="22" t="s">
        <v>30</v>
      </c>
      <c r="N99" s="23">
        <f>N65</f>
        <v>1314</v>
      </c>
      <c r="O99" s="17"/>
      <c r="P99" s="17"/>
      <c r="Q99" s="17"/>
      <c r="R99" s="17"/>
      <c r="S99" s="17"/>
      <c r="T99" s="17"/>
      <c r="U99" s="17"/>
    </row>
    <row r="100" spans="1:21" ht="12.75" customHeight="1" thickBot="1" x14ac:dyDescent="0.3">
      <c r="A100" s="19" t="s">
        <v>31</v>
      </c>
      <c r="B100" s="24">
        <v>8</v>
      </c>
      <c r="C100" s="17"/>
      <c r="E100" s="54" t="s">
        <v>32</v>
      </c>
      <c r="F100" s="54"/>
      <c r="G100" s="54"/>
      <c r="H100" s="54"/>
      <c r="I100" s="20">
        <f>I83</f>
        <v>4200</v>
      </c>
      <c r="J100" s="20">
        <v>10000</v>
      </c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ht="12.75" customHeight="1" thickBot="1" x14ac:dyDescent="0.3">
      <c r="A101" s="17" t="s">
        <v>33</v>
      </c>
      <c r="B101" s="25">
        <f>RDR</f>
        <v>6.9080333333333341E-2</v>
      </c>
      <c r="C101" s="17"/>
      <c r="E101" s="54" t="s">
        <v>34</v>
      </c>
      <c r="F101" s="54"/>
      <c r="G101" s="54"/>
      <c r="H101" s="54"/>
      <c r="I101" s="26">
        <f>I84</f>
        <v>2.17</v>
      </c>
      <c r="J101" s="26">
        <f>J84</f>
        <v>3.2</v>
      </c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ht="12.75" customHeight="1" x14ac:dyDescent="0.25">
      <c r="A102" s="16"/>
      <c r="B102" s="17"/>
      <c r="C102" s="17"/>
      <c r="E102" s="54" t="s">
        <v>35</v>
      </c>
      <c r="F102" s="54"/>
      <c r="G102" s="54"/>
      <c r="H102" s="54"/>
      <c r="I102" s="27">
        <f>$N$65/I100*I101</f>
        <v>0.67889999999999995</v>
      </c>
      <c r="J102" s="27">
        <f>$N$65/J100*J101</f>
        <v>0.42047999999999996</v>
      </c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ht="12.75" customHeight="1" x14ac:dyDescent="0.25">
      <c r="A103" s="16"/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1:21" ht="12" customHeight="1" x14ac:dyDescent="0.25">
      <c r="A104" s="28"/>
      <c r="B104" s="16"/>
      <c r="C104" s="16"/>
      <c r="D104" s="16"/>
      <c r="E104" s="16"/>
      <c r="F104" s="16"/>
      <c r="G104" s="17"/>
      <c r="H104" s="17"/>
      <c r="I104" s="17"/>
      <c r="J104" s="17"/>
      <c r="K104" s="17"/>
    </row>
    <row r="105" spans="1:21" s="30" customFormat="1" x14ac:dyDescent="0.25">
      <c r="A105" s="29"/>
      <c r="C105" s="30" t="s">
        <v>36</v>
      </c>
      <c r="D105" s="30">
        <f>B99</f>
        <v>2018</v>
      </c>
      <c r="E105" s="30">
        <f>D105+1</f>
        <v>2019</v>
      </c>
      <c r="F105" s="30">
        <f t="shared" ref="F105" si="45">E105+1</f>
        <v>2020</v>
      </c>
      <c r="G105" s="30">
        <f t="shared" ref="G105" si="46">F105+1</f>
        <v>2021</v>
      </c>
      <c r="H105" s="30">
        <f t="shared" ref="H105" si="47">G105+1</f>
        <v>2022</v>
      </c>
      <c r="I105" s="30">
        <f t="shared" ref="I105" si="48">H105+1</f>
        <v>2023</v>
      </c>
      <c r="J105" s="30">
        <f t="shared" ref="J105" si="49">I105+1</f>
        <v>2024</v>
      </c>
      <c r="K105" s="30">
        <f t="shared" ref="K105" si="50">J105+1</f>
        <v>2025</v>
      </c>
      <c r="L105" s="18"/>
      <c r="M105" s="18"/>
    </row>
    <row r="106" spans="1:21" s="30" customFormat="1" ht="12.75" customHeight="1" x14ac:dyDescent="0.25">
      <c r="A106" s="53" t="s">
        <v>37</v>
      </c>
      <c r="B106" s="53"/>
      <c r="C106" s="30" t="s">
        <v>28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f t="shared" ref="J106:J107" si="51">I106</f>
        <v>0</v>
      </c>
      <c r="K106" s="31">
        <f t="shared" ref="K106:K107" si="52">J106</f>
        <v>0</v>
      </c>
      <c r="L106" s="18"/>
      <c r="M106" s="18"/>
    </row>
    <row r="107" spans="1:21" s="30" customFormat="1" x14ac:dyDescent="0.25">
      <c r="A107" s="53"/>
      <c r="B107" s="53"/>
      <c r="C107" s="30" t="s">
        <v>38</v>
      </c>
      <c r="D107" s="31">
        <v>1</v>
      </c>
      <c r="E107" s="31">
        <v>1</v>
      </c>
      <c r="F107" s="31">
        <v>0</v>
      </c>
      <c r="G107" s="31">
        <v>0</v>
      </c>
      <c r="H107" s="31">
        <v>0</v>
      </c>
      <c r="I107" s="31">
        <v>0</v>
      </c>
      <c r="J107" s="31">
        <f t="shared" si="51"/>
        <v>0</v>
      </c>
      <c r="K107" s="31">
        <f t="shared" si="52"/>
        <v>0</v>
      </c>
      <c r="L107" s="18"/>
      <c r="M107" s="18"/>
    </row>
    <row r="108" spans="1:21" s="30" customFormat="1" ht="13.5" customHeight="1" x14ac:dyDescent="0.25">
      <c r="A108" s="28"/>
      <c r="B108" s="32"/>
      <c r="C108" s="30" t="s">
        <v>29</v>
      </c>
      <c r="D108" s="31">
        <v>0</v>
      </c>
      <c r="E108" s="31">
        <v>0</v>
      </c>
      <c r="F108" s="31">
        <v>1</v>
      </c>
      <c r="G108" s="31">
        <v>1</v>
      </c>
      <c r="H108" s="31">
        <v>1</v>
      </c>
      <c r="I108" s="31">
        <v>1</v>
      </c>
      <c r="J108" s="31">
        <f>I108</f>
        <v>1</v>
      </c>
      <c r="K108" s="31">
        <f>J108</f>
        <v>1</v>
      </c>
      <c r="L108" s="18"/>
      <c r="M108" s="18"/>
    </row>
    <row r="109" spans="1:21" s="30" customFormat="1" ht="13.5" customHeight="1" x14ac:dyDescent="0.25">
      <c r="A109" s="28"/>
      <c r="B109" s="32"/>
      <c r="D109" s="33"/>
      <c r="E109" s="33"/>
      <c r="F109" s="33"/>
      <c r="G109" s="33"/>
      <c r="H109" s="33"/>
      <c r="I109" s="33"/>
      <c r="J109" s="33"/>
      <c r="K109" s="33"/>
      <c r="L109" s="18"/>
      <c r="M109" s="18"/>
    </row>
    <row r="110" spans="1:21" ht="15.75" thickBot="1" x14ac:dyDescent="0.3">
      <c r="A110" s="16"/>
      <c r="B110" s="17"/>
      <c r="C110" s="34" t="s">
        <v>39</v>
      </c>
      <c r="D110" s="17"/>
      <c r="E110" s="17"/>
      <c r="F110" s="17"/>
      <c r="G110" s="17"/>
      <c r="H110" s="17"/>
      <c r="I110" s="17"/>
      <c r="J110" s="17"/>
      <c r="K110" s="17"/>
    </row>
    <row r="111" spans="1:21" ht="15.75" thickBot="1" x14ac:dyDescent="0.3">
      <c r="A111" s="16"/>
      <c r="B111" s="35" t="s">
        <v>40</v>
      </c>
      <c r="C111" s="36">
        <f>NPV(RDR,D111:M111)*(1+RDR)</f>
        <v>2.5150940145960812</v>
      </c>
      <c r="D111" s="37">
        <f>(D107*$I$68)+(D108*$J$68)-I102</f>
        <v>0</v>
      </c>
      <c r="E111" s="37">
        <f>(E107*$I$68)+(E108*$J$68)</f>
        <v>0.67889999999999995</v>
      </c>
      <c r="F111" s="37">
        <f t="shared" ref="F111:K111" si="53">(F107*$I$68)+(F108*$J$68)</f>
        <v>0.42047999999999996</v>
      </c>
      <c r="G111" s="37">
        <f t="shared" si="53"/>
        <v>0.42047999999999996</v>
      </c>
      <c r="H111" s="37">
        <f t="shared" si="53"/>
        <v>0.42047999999999996</v>
      </c>
      <c r="I111" s="37">
        <f t="shared" si="53"/>
        <v>0.42047999999999996</v>
      </c>
      <c r="J111" s="37">
        <f t="shared" si="53"/>
        <v>0.42047999999999996</v>
      </c>
      <c r="K111" s="37">
        <f t="shared" si="53"/>
        <v>0.42047999999999996</v>
      </c>
    </row>
    <row r="112" spans="1:21" x14ac:dyDescent="0.25">
      <c r="A112" s="16"/>
      <c r="B112" s="35" t="s">
        <v>41</v>
      </c>
      <c r="C112" s="38">
        <f>-PMT(RDR,B100,C111,,)</f>
        <v>0.41969726364431503</v>
      </c>
      <c r="D112" s="17"/>
      <c r="E112" s="17"/>
      <c r="F112" s="17"/>
      <c r="G112" s="17"/>
      <c r="H112" s="17"/>
      <c r="I112" s="17"/>
      <c r="J112" s="17"/>
      <c r="K112" s="17"/>
    </row>
    <row r="113" spans="1:21" ht="15.75" thickBot="1" x14ac:dyDescent="0.3">
      <c r="A113" s="16"/>
      <c r="B113" s="19" t="s">
        <v>42</v>
      </c>
      <c r="C113" s="39">
        <v>1</v>
      </c>
      <c r="D113" s="17"/>
      <c r="E113" s="17"/>
      <c r="F113" s="17"/>
      <c r="G113" s="17"/>
      <c r="H113" s="17"/>
      <c r="I113" s="17"/>
      <c r="J113" s="17"/>
      <c r="K113" s="17"/>
    </row>
    <row r="117" spans="1:21" s="44" customFormat="1" x14ac:dyDescent="0.25"/>
    <row r="118" spans="1:21" ht="12.75" customHeight="1" x14ac:dyDescent="0.25">
      <c r="A118" s="16" t="s">
        <v>45</v>
      </c>
      <c r="B118" s="17"/>
      <c r="C118" s="17"/>
      <c r="I118" s="57" t="s">
        <v>26</v>
      </c>
      <c r="J118" s="58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ht="25.5" customHeight="1" x14ac:dyDescent="0.25">
      <c r="A119" s="19" t="s">
        <v>27</v>
      </c>
      <c r="B119" s="20">
        <v>2016</v>
      </c>
      <c r="C119" s="17"/>
      <c r="H119" s="17"/>
      <c r="I119" s="21" t="s">
        <v>55</v>
      </c>
      <c r="J119" s="21" t="s">
        <v>29</v>
      </c>
      <c r="K119" s="17"/>
      <c r="L119" s="17"/>
      <c r="M119" s="22" t="s">
        <v>30</v>
      </c>
      <c r="N119" s="23">
        <v>769</v>
      </c>
      <c r="O119" s="17"/>
      <c r="P119" s="17"/>
      <c r="Q119" s="17"/>
      <c r="R119" s="17"/>
      <c r="S119" s="17"/>
      <c r="T119" s="17"/>
      <c r="U119" s="17"/>
    </row>
    <row r="120" spans="1:21" ht="12.75" customHeight="1" thickBot="1" x14ac:dyDescent="0.3">
      <c r="A120" s="19" t="s">
        <v>31</v>
      </c>
      <c r="B120" s="24">
        <v>10</v>
      </c>
      <c r="C120" s="17"/>
      <c r="E120" s="54" t="s">
        <v>32</v>
      </c>
      <c r="F120" s="54"/>
      <c r="G120" s="54"/>
      <c r="H120" s="54"/>
      <c r="I120" s="20">
        <f>I100</f>
        <v>4200</v>
      </c>
      <c r="J120" s="20">
        <v>10000</v>
      </c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ht="12.75" customHeight="1" thickBot="1" x14ac:dyDescent="0.3">
      <c r="A121" s="17" t="s">
        <v>33</v>
      </c>
      <c r="B121" s="25">
        <f>RDR</f>
        <v>6.9080333333333341E-2</v>
      </c>
      <c r="C121" s="17"/>
      <c r="E121" s="54" t="s">
        <v>34</v>
      </c>
      <c r="F121" s="54"/>
      <c r="G121" s="54"/>
      <c r="H121" s="54"/>
      <c r="I121" s="26">
        <f>I101</f>
        <v>2.17</v>
      </c>
      <c r="J121" s="26">
        <v>3.2</v>
      </c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ht="12.75" customHeight="1" x14ac:dyDescent="0.25">
      <c r="A122" s="16"/>
      <c r="B122" s="17"/>
      <c r="C122" s="17"/>
      <c r="E122" s="54" t="s">
        <v>35</v>
      </c>
      <c r="F122" s="54"/>
      <c r="G122" s="54"/>
      <c r="H122" s="54"/>
      <c r="I122" s="27">
        <f>$N$119/I120*I121</f>
        <v>0.39731666666666665</v>
      </c>
      <c r="J122" s="27">
        <f>$N$119/J120*J121</f>
        <v>0.24607999999999999</v>
      </c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ht="12.75" customHeight="1" x14ac:dyDescent="0.25">
      <c r="A123" s="16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1:21" ht="12" customHeight="1" x14ac:dyDescent="0.25">
      <c r="A124" s="28"/>
      <c r="B124" s="16"/>
      <c r="C124" s="16"/>
      <c r="D124" s="16"/>
      <c r="E124" s="16"/>
      <c r="F124" s="16"/>
      <c r="G124" s="17"/>
      <c r="H124" s="17"/>
      <c r="I124" s="17"/>
      <c r="J124" s="17"/>
      <c r="K124" s="17"/>
      <c r="L124" s="17"/>
      <c r="M124" s="17"/>
    </row>
    <row r="125" spans="1:21" s="30" customFormat="1" ht="12.75" x14ac:dyDescent="0.2">
      <c r="A125" s="29"/>
      <c r="C125" s="30" t="s">
        <v>36</v>
      </c>
      <c r="D125" s="30">
        <f>B119</f>
        <v>2016</v>
      </c>
      <c r="E125" s="30">
        <f>D125+1</f>
        <v>2017</v>
      </c>
      <c r="F125" s="30">
        <f t="shared" ref="F125" si="54">E125+1</f>
        <v>2018</v>
      </c>
      <c r="G125" s="30">
        <f t="shared" ref="G125" si="55">F125+1</f>
        <v>2019</v>
      </c>
      <c r="H125" s="30">
        <f t="shared" ref="H125" si="56">G125+1</f>
        <v>2020</v>
      </c>
      <c r="I125" s="30">
        <f t="shared" ref="I125" si="57">H125+1</f>
        <v>2021</v>
      </c>
      <c r="J125" s="30">
        <f t="shared" ref="J125" si="58">I125+1</f>
        <v>2022</v>
      </c>
      <c r="K125" s="30">
        <f t="shared" ref="K125" si="59">J125+1</f>
        <v>2023</v>
      </c>
      <c r="L125" s="30">
        <f t="shared" ref="L125" si="60">K125+1</f>
        <v>2024</v>
      </c>
      <c r="M125" s="30">
        <f t="shared" ref="M125" si="61">L125+1</f>
        <v>2025</v>
      </c>
    </row>
    <row r="126" spans="1:21" s="30" customFormat="1" ht="12.75" customHeight="1" x14ac:dyDescent="0.25">
      <c r="A126" s="53" t="s">
        <v>37</v>
      </c>
      <c r="B126" s="53"/>
      <c r="C126" s="30" t="s">
        <v>28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f t="shared" ref="J126:J127" si="62">I126</f>
        <v>0</v>
      </c>
      <c r="K126" s="31">
        <f t="shared" ref="K126:K127" si="63">J126</f>
        <v>0</v>
      </c>
      <c r="L126" s="31">
        <f t="shared" ref="L126" si="64">K126</f>
        <v>0</v>
      </c>
      <c r="M126" s="31">
        <f>L126</f>
        <v>0</v>
      </c>
    </row>
    <row r="127" spans="1:21" s="30" customFormat="1" x14ac:dyDescent="0.25">
      <c r="A127" s="53"/>
      <c r="B127" s="53"/>
      <c r="C127" s="30" t="s">
        <v>38</v>
      </c>
      <c r="D127" s="31">
        <v>1</v>
      </c>
      <c r="E127" s="31">
        <v>1</v>
      </c>
      <c r="F127" s="31">
        <f>1-F126</f>
        <v>1</v>
      </c>
      <c r="G127" s="31">
        <f>1-G126</f>
        <v>1</v>
      </c>
      <c r="H127" s="31">
        <v>0</v>
      </c>
      <c r="I127" s="31">
        <v>0</v>
      </c>
      <c r="J127" s="31">
        <f t="shared" si="62"/>
        <v>0</v>
      </c>
      <c r="K127" s="31">
        <f t="shared" si="63"/>
        <v>0</v>
      </c>
      <c r="L127" s="31">
        <v>0</v>
      </c>
      <c r="M127" s="31">
        <v>0</v>
      </c>
    </row>
    <row r="128" spans="1:21" s="30" customFormat="1" ht="13.5" customHeight="1" x14ac:dyDescent="0.25">
      <c r="A128" s="28"/>
      <c r="B128" s="32"/>
      <c r="C128" s="30" t="s">
        <v>29</v>
      </c>
      <c r="D128" s="31">
        <v>0</v>
      </c>
      <c r="E128" s="31">
        <v>0</v>
      </c>
      <c r="F128" s="31">
        <v>0</v>
      </c>
      <c r="G128" s="31">
        <v>0</v>
      </c>
      <c r="H128" s="31">
        <v>1</v>
      </c>
      <c r="I128" s="31">
        <v>1</v>
      </c>
      <c r="J128" s="31">
        <f>I128</f>
        <v>1</v>
      </c>
      <c r="K128" s="31">
        <f>J128</f>
        <v>1</v>
      </c>
      <c r="L128" s="31">
        <v>1</v>
      </c>
      <c r="M128" s="31">
        <v>1</v>
      </c>
    </row>
    <row r="129" spans="1:24" s="30" customFormat="1" ht="13.5" customHeight="1" x14ac:dyDescent="0.25">
      <c r="A129" s="28"/>
      <c r="B129" s="32"/>
      <c r="D129" s="33"/>
      <c r="E129" s="33"/>
      <c r="F129" s="33"/>
      <c r="G129" s="33"/>
      <c r="H129" s="33"/>
      <c r="I129" s="33"/>
      <c r="J129" s="33"/>
      <c r="K129" s="33"/>
    </row>
    <row r="130" spans="1:24" ht="15.75" thickBot="1" x14ac:dyDescent="0.3">
      <c r="A130" s="16"/>
      <c r="B130" s="17"/>
      <c r="C130" s="34" t="s">
        <v>39</v>
      </c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1:24" ht="15.75" thickBot="1" x14ac:dyDescent="0.3">
      <c r="A131" s="16"/>
      <c r="B131" s="35" t="s">
        <v>40</v>
      </c>
      <c r="C131" s="36">
        <f>NPV(RDR,D131:M131)*(1+RDR)</f>
        <v>2.0071202303572013</v>
      </c>
      <c r="D131" s="37">
        <f>(D127*$I$122)+(D128*$J$122)-I122</f>
        <v>0</v>
      </c>
      <c r="E131" s="37">
        <f>(E127*$I$122)+(E128*$J$122)</f>
        <v>0.39731666666666665</v>
      </c>
      <c r="F131" s="37">
        <f t="shared" ref="F131:M131" si="65">(F127*$I$122)+(F128*$J$122)</f>
        <v>0.39731666666666665</v>
      </c>
      <c r="G131" s="37">
        <f t="shared" si="65"/>
        <v>0.39731666666666665</v>
      </c>
      <c r="H131" s="37">
        <f t="shared" si="65"/>
        <v>0.24607999999999999</v>
      </c>
      <c r="I131" s="37">
        <f t="shared" si="65"/>
        <v>0.24607999999999999</v>
      </c>
      <c r="J131" s="37">
        <f t="shared" si="65"/>
        <v>0.24607999999999999</v>
      </c>
      <c r="K131" s="37">
        <f t="shared" si="65"/>
        <v>0.24607999999999999</v>
      </c>
      <c r="L131" s="37">
        <f t="shared" si="65"/>
        <v>0.24607999999999999</v>
      </c>
      <c r="M131" s="37">
        <f t="shared" si="65"/>
        <v>0.24607999999999999</v>
      </c>
    </row>
    <row r="132" spans="1:24" x14ac:dyDescent="0.25">
      <c r="A132" s="16"/>
      <c r="B132" s="35" t="s">
        <v>41</v>
      </c>
      <c r="C132" s="38">
        <f>-PMT(RDR,B120,C131,,)</f>
        <v>0.28455512863313887</v>
      </c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1:24" ht="15.75" thickBot="1" x14ac:dyDescent="0.3">
      <c r="A133" s="16"/>
      <c r="B133" s="19" t="s">
        <v>42</v>
      </c>
      <c r="C133" s="39">
        <v>1</v>
      </c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24" x14ac:dyDescent="0.25">
      <c r="A134" s="16"/>
      <c r="B134" s="19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s="42" customFormat="1" ht="12.75" customHeight="1" x14ac:dyDescent="0.25">
      <c r="A135" s="40"/>
      <c r="B135" s="41"/>
      <c r="C135" s="41"/>
      <c r="I135" s="55" t="s">
        <v>26</v>
      </c>
      <c r="J135" s="56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</row>
    <row r="136" spans="1:24" ht="25.5" customHeight="1" x14ac:dyDescent="0.25">
      <c r="A136" s="19" t="s">
        <v>27</v>
      </c>
      <c r="B136" s="20">
        <v>2017</v>
      </c>
      <c r="C136" s="17"/>
      <c r="H136" s="17"/>
      <c r="I136" s="21" t="s">
        <v>55</v>
      </c>
      <c r="J136" s="21" t="s">
        <v>29</v>
      </c>
      <c r="K136" s="17"/>
      <c r="L136" s="17"/>
      <c r="M136" s="22" t="s">
        <v>30</v>
      </c>
      <c r="N136" s="23">
        <f>N119</f>
        <v>769</v>
      </c>
      <c r="O136" s="17"/>
      <c r="P136" s="17"/>
      <c r="Q136" s="17"/>
      <c r="R136" s="17"/>
      <c r="S136" s="17"/>
      <c r="T136" s="17"/>
      <c r="U136" s="17"/>
    </row>
    <row r="137" spans="1:24" ht="12.75" customHeight="1" thickBot="1" x14ac:dyDescent="0.3">
      <c r="A137" s="19" t="s">
        <v>31</v>
      </c>
      <c r="B137" s="24">
        <v>10</v>
      </c>
      <c r="C137" s="17"/>
      <c r="E137" s="54" t="s">
        <v>32</v>
      </c>
      <c r="F137" s="54"/>
      <c r="G137" s="54"/>
      <c r="H137" s="54"/>
      <c r="I137" s="20">
        <f>I120</f>
        <v>4200</v>
      </c>
      <c r="J137" s="20">
        <v>10000</v>
      </c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4" ht="12.75" customHeight="1" thickBot="1" x14ac:dyDescent="0.3">
      <c r="A138" s="17" t="s">
        <v>33</v>
      </c>
      <c r="B138" s="25">
        <f>RDR</f>
        <v>6.9080333333333341E-2</v>
      </c>
      <c r="C138" s="17"/>
      <c r="E138" s="54" t="s">
        <v>34</v>
      </c>
      <c r="F138" s="54"/>
      <c r="G138" s="54"/>
      <c r="H138" s="54"/>
      <c r="I138" s="26">
        <f>I121</f>
        <v>2.17</v>
      </c>
      <c r="J138" s="26">
        <f>J121</f>
        <v>3.2</v>
      </c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4" ht="12.75" customHeight="1" x14ac:dyDescent="0.25">
      <c r="A139" s="16"/>
      <c r="B139" s="17"/>
      <c r="C139" s="17"/>
      <c r="E139" s="54" t="s">
        <v>35</v>
      </c>
      <c r="F139" s="54"/>
      <c r="G139" s="54"/>
      <c r="H139" s="54"/>
      <c r="I139" s="27">
        <f>$N$119/I137*I138</f>
        <v>0.39731666666666665</v>
      </c>
      <c r="J139" s="27">
        <f>$N$119/J137*J138</f>
        <v>0.24607999999999999</v>
      </c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4" ht="12.75" customHeight="1" x14ac:dyDescent="0.25">
      <c r="A140" s="16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</row>
    <row r="141" spans="1:24" ht="12" customHeight="1" x14ac:dyDescent="0.25">
      <c r="A141" s="28"/>
      <c r="B141" s="16"/>
      <c r="C141" s="16"/>
      <c r="D141" s="16"/>
      <c r="E141" s="16"/>
      <c r="F141" s="16"/>
      <c r="G141" s="17"/>
      <c r="H141" s="17"/>
      <c r="I141" s="17"/>
      <c r="J141" s="17"/>
      <c r="K141" s="17"/>
      <c r="L141" s="17"/>
      <c r="M141" s="17"/>
    </row>
    <row r="142" spans="1:24" s="30" customFormat="1" ht="12.75" x14ac:dyDescent="0.2">
      <c r="A142" s="29"/>
      <c r="C142" s="30" t="s">
        <v>36</v>
      </c>
      <c r="D142" s="30">
        <f>B136</f>
        <v>2017</v>
      </c>
      <c r="E142" s="30">
        <f>D142+1</f>
        <v>2018</v>
      </c>
      <c r="F142" s="30">
        <f t="shared" ref="F142" si="66">E142+1</f>
        <v>2019</v>
      </c>
      <c r="G142" s="30">
        <f t="shared" ref="G142" si="67">F142+1</f>
        <v>2020</v>
      </c>
      <c r="H142" s="30">
        <f t="shared" ref="H142" si="68">G142+1</f>
        <v>2021</v>
      </c>
      <c r="I142" s="30">
        <f t="shared" ref="I142" si="69">H142+1</f>
        <v>2022</v>
      </c>
      <c r="J142" s="30">
        <f t="shared" ref="J142" si="70">I142+1</f>
        <v>2023</v>
      </c>
      <c r="K142" s="30">
        <f t="shared" ref="K142" si="71">J142+1</f>
        <v>2024</v>
      </c>
      <c r="L142" s="30">
        <f t="shared" ref="L142" si="72">K142+1</f>
        <v>2025</v>
      </c>
      <c r="M142" s="30">
        <f t="shared" ref="M142" si="73">L142+1</f>
        <v>2026</v>
      </c>
    </row>
    <row r="143" spans="1:24" s="30" customFormat="1" ht="12.75" customHeight="1" x14ac:dyDescent="0.25">
      <c r="A143" s="53" t="s">
        <v>37</v>
      </c>
      <c r="B143" s="53"/>
      <c r="C143" s="30" t="s">
        <v>28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f t="shared" ref="J143:J144" si="74">I143</f>
        <v>0</v>
      </c>
      <c r="K143" s="31">
        <f t="shared" ref="K143:K144" si="75">J143</f>
        <v>0</v>
      </c>
      <c r="L143" s="31">
        <f t="shared" ref="L143" si="76">K143</f>
        <v>0</v>
      </c>
      <c r="M143" s="31">
        <f>L143</f>
        <v>0</v>
      </c>
    </row>
    <row r="144" spans="1:24" s="30" customFormat="1" x14ac:dyDescent="0.25">
      <c r="A144" s="53"/>
      <c r="B144" s="53"/>
      <c r="C144" s="30" t="s">
        <v>38</v>
      </c>
      <c r="D144" s="31">
        <v>1</v>
      </c>
      <c r="E144" s="31">
        <v>1</v>
      </c>
      <c r="F144" s="31">
        <f>1-F143</f>
        <v>1</v>
      </c>
      <c r="G144" s="31">
        <v>0</v>
      </c>
      <c r="H144" s="31">
        <v>0</v>
      </c>
      <c r="I144" s="31">
        <v>0</v>
      </c>
      <c r="J144" s="31">
        <f t="shared" si="74"/>
        <v>0</v>
      </c>
      <c r="K144" s="31">
        <f t="shared" si="75"/>
        <v>0</v>
      </c>
      <c r="L144" s="31">
        <v>0</v>
      </c>
      <c r="M144" s="31">
        <v>0</v>
      </c>
    </row>
    <row r="145" spans="1:21" s="30" customFormat="1" ht="13.5" customHeight="1" x14ac:dyDescent="0.25">
      <c r="A145" s="28"/>
      <c r="B145" s="32"/>
      <c r="C145" s="30" t="s">
        <v>29</v>
      </c>
      <c r="D145" s="31">
        <v>0</v>
      </c>
      <c r="E145" s="31">
        <v>0</v>
      </c>
      <c r="F145" s="31">
        <v>0</v>
      </c>
      <c r="G145" s="31">
        <v>1</v>
      </c>
      <c r="H145" s="31">
        <v>1</v>
      </c>
      <c r="I145" s="31">
        <v>1</v>
      </c>
      <c r="J145" s="31">
        <f>I145</f>
        <v>1</v>
      </c>
      <c r="K145" s="31">
        <f>J145</f>
        <v>1</v>
      </c>
      <c r="L145" s="31">
        <v>1</v>
      </c>
      <c r="M145" s="31">
        <v>1</v>
      </c>
    </row>
    <row r="146" spans="1:21" s="30" customFormat="1" ht="13.5" customHeight="1" x14ac:dyDescent="0.25">
      <c r="A146" s="28"/>
      <c r="B146" s="32"/>
      <c r="D146" s="33"/>
      <c r="E146" s="33"/>
      <c r="F146" s="33"/>
      <c r="G146" s="33"/>
      <c r="H146" s="33"/>
      <c r="I146" s="33"/>
      <c r="J146" s="33"/>
      <c r="K146" s="33"/>
    </row>
    <row r="147" spans="1:21" ht="15.75" thickBot="1" x14ac:dyDescent="0.3">
      <c r="A147" s="16"/>
      <c r="B147" s="17"/>
      <c r="C147" s="34" t="s">
        <v>39</v>
      </c>
      <c r="D147" s="17"/>
      <c r="E147" s="17"/>
      <c r="F147" s="17"/>
      <c r="G147" s="17"/>
      <c r="H147" s="17"/>
      <c r="I147" s="17"/>
      <c r="J147" s="17"/>
      <c r="K147" s="17"/>
      <c r="L147" s="17"/>
      <c r="M147" s="17"/>
    </row>
    <row r="148" spans="1:21" ht="15.75" thickBot="1" x14ac:dyDescent="0.3">
      <c r="A148" s="16"/>
      <c r="B148" s="35" t="s">
        <v>40</v>
      </c>
      <c r="C148" s="36">
        <f>NPV(RDR,D148:M148)*(1+RDR)</f>
        <v>1.8833471853049015</v>
      </c>
      <c r="D148" s="37">
        <f>(D144*$I$122)+(D145*$J$122)-I139</f>
        <v>0</v>
      </c>
      <c r="E148" s="37">
        <f>(E144*$I$122)+(E145*$J$122)</f>
        <v>0.39731666666666665</v>
      </c>
      <c r="F148" s="37">
        <f t="shared" ref="F148:M148" si="77">(F144*$I$122)+(F145*$J$122)</f>
        <v>0.39731666666666665</v>
      </c>
      <c r="G148" s="37">
        <f t="shared" si="77"/>
        <v>0.24607999999999999</v>
      </c>
      <c r="H148" s="37">
        <f t="shared" si="77"/>
        <v>0.24607999999999999</v>
      </c>
      <c r="I148" s="37">
        <f t="shared" si="77"/>
        <v>0.24607999999999999</v>
      </c>
      <c r="J148" s="37">
        <f t="shared" si="77"/>
        <v>0.24607999999999999</v>
      </c>
      <c r="K148" s="37">
        <f t="shared" si="77"/>
        <v>0.24607999999999999</v>
      </c>
      <c r="L148" s="37">
        <f t="shared" si="77"/>
        <v>0.24607999999999999</v>
      </c>
      <c r="M148" s="37">
        <f t="shared" si="77"/>
        <v>0.24607999999999999</v>
      </c>
    </row>
    <row r="149" spans="1:21" x14ac:dyDescent="0.25">
      <c r="A149" s="16"/>
      <c r="B149" s="35" t="s">
        <v>41</v>
      </c>
      <c r="C149" s="38">
        <f>-PMT(RDR,B137,C148,,)</f>
        <v>0.26700747293046856</v>
      </c>
      <c r="D149" s="17"/>
      <c r="E149" s="17"/>
      <c r="F149" s="17"/>
      <c r="G149" s="17"/>
      <c r="H149" s="17"/>
      <c r="I149" s="17"/>
      <c r="J149" s="17"/>
      <c r="K149" s="17"/>
      <c r="L149" s="17"/>
      <c r="M149" s="17"/>
    </row>
    <row r="150" spans="1:21" ht="15.75" thickBot="1" x14ac:dyDescent="0.3">
      <c r="A150" s="16"/>
      <c r="B150" s="19" t="s">
        <v>42</v>
      </c>
      <c r="C150" s="39">
        <v>1</v>
      </c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2" spans="1:21" s="42" customFormat="1" ht="12.75" customHeight="1" x14ac:dyDescent="0.25">
      <c r="A152" s="40"/>
      <c r="B152" s="41"/>
      <c r="C152" s="41"/>
      <c r="I152" s="55" t="s">
        <v>26</v>
      </c>
      <c r="J152" s="56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</row>
    <row r="153" spans="1:21" ht="25.5" customHeight="1" x14ac:dyDescent="0.25">
      <c r="A153" s="19" t="s">
        <v>27</v>
      </c>
      <c r="B153" s="20">
        <v>2018</v>
      </c>
      <c r="C153" s="17"/>
      <c r="H153" s="17"/>
      <c r="I153" s="21" t="s">
        <v>55</v>
      </c>
      <c r="J153" s="21" t="s">
        <v>29</v>
      </c>
      <c r="K153" s="17"/>
      <c r="L153" s="17"/>
      <c r="M153" s="22" t="s">
        <v>30</v>
      </c>
      <c r="N153" s="23">
        <f>N119</f>
        <v>769</v>
      </c>
      <c r="O153" s="17"/>
      <c r="P153" s="17"/>
      <c r="Q153" s="17"/>
      <c r="R153" s="17"/>
      <c r="S153" s="17"/>
      <c r="T153" s="17"/>
      <c r="U153" s="17"/>
    </row>
    <row r="154" spans="1:21" ht="12.75" customHeight="1" thickBot="1" x14ac:dyDescent="0.3">
      <c r="A154" s="19" t="s">
        <v>31</v>
      </c>
      <c r="B154" s="24">
        <v>10</v>
      </c>
      <c r="C154" s="17"/>
      <c r="E154" s="54" t="s">
        <v>32</v>
      </c>
      <c r="F154" s="54"/>
      <c r="G154" s="54"/>
      <c r="H154" s="54"/>
      <c r="I154" s="20">
        <f>I137</f>
        <v>4200</v>
      </c>
      <c r="J154" s="20">
        <v>10000</v>
      </c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ht="12.75" customHeight="1" thickBot="1" x14ac:dyDescent="0.3">
      <c r="A155" s="17" t="s">
        <v>33</v>
      </c>
      <c r="B155" s="25">
        <f>RDR</f>
        <v>6.9080333333333341E-2</v>
      </c>
      <c r="C155" s="17"/>
      <c r="E155" s="54" t="s">
        <v>34</v>
      </c>
      <c r="F155" s="54"/>
      <c r="G155" s="54"/>
      <c r="H155" s="54"/>
      <c r="I155" s="26">
        <f>I138</f>
        <v>2.17</v>
      </c>
      <c r="J155" s="26">
        <f>J138</f>
        <v>3.2</v>
      </c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ht="12.75" customHeight="1" x14ac:dyDescent="0.25">
      <c r="A156" s="16"/>
      <c r="B156" s="17"/>
      <c r="C156" s="17"/>
      <c r="E156" s="54" t="s">
        <v>35</v>
      </c>
      <c r="F156" s="54"/>
      <c r="G156" s="54"/>
      <c r="H156" s="54"/>
      <c r="I156" s="27">
        <f>$N$119/I154*I155</f>
        <v>0.39731666666666665</v>
      </c>
      <c r="J156" s="27">
        <f>$N$119/J154*J155</f>
        <v>0.24607999999999999</v>
      </c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ht="12.75" customHeight="1" x14ac:dyDescent="0.25">
      <c r="A157" s="16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 spans="1:21" ht="12" customHeight="1" x14ac:dyDescent="0.25">
      <c r="A158" s="28"/>
      <c r="B158" s="16"/>
      <c r="C158" s="16"/>
      <c r="D158" s="16"/>
      <c r="E158" s="16"/>
      <c r="F158" s="16"/>
      <c r="G158" s="17"/>
      <c r="H158" s="17"/>
      <c r="I158" s="17"/>
      <c r="J158" s="17"/>
      <c r="K158" s="17"/>
      <c r="L158" s="17"/>
      <c r="M158" s="17"/>
    </row>
    <row r="159" spans="1:21" s="30" customFormat="1" ht="12.75" x14ac:dyDescent="0.2">
      <c r="A159" s="29"/>
      <c r="C159" s="30" t="s">
        <v>36</v>
      </c>
      <c r="D159" s="30">
        <f>B153</f>
        <v>2018</v>
      </c>
      <c r="E159" s="30">
        <f>D159+1</f>
        <v>2019</v>
      </c>
      <c r="F159" s="30">
        <f t="shared" ref="F159" si="78">E159+1</f>
        <v>2020</v>
      </c>
      <c r="G159" s="30">
        <f t="shared" ref="G159" si="79">F159+1</f>
        <v>2021</v>
      </c>
      <c r="H159" s="30">
        <f t="shared" ref="H159" si="80">G159+1</f>
        <v>2022</v>
      </c>
      <c r="I159" s="30">
        <f t="shared" ref="I159" si="81">H159+1</f>
        <v>2023</v>
      </c>
      <c r="J159" s="30">
        <f t="shared" ref="J159" si="82">I159+1</f>
        <v>2024</v>
      </c>
      <c r="K159" s="30">
        <f t="shared" ref="K159" si="83">J159+1</f>
        <v>2025</v>
      </c>
      <c r="L159" s="30">
        <f t="shared" ref="L159" si="84">K159+1</f>
        <v>2026</v>
      </c>
      <c r="M159" s="30">
        <f t="shared" ref="M159" si="85">L159+1</f>
        <v>2027</v>
      </c>
    </row>
    <row r="160" spans="1:21" s="30" customFormat="1" ht="12.75" customHeight="1" x14ac:dyDescent="0.25">
      <c r="A160" s="53" t="s">
        <v>37</v>
      </c>
      <c r="B160" s="53"/>
      <c r="C160" s="30" t="s">
        <v>28</v>
      </c>
      <c r="D160" s="31">
        <v>0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f t="shared" ref="J160:J161" si="86">I160</f>
        <v>0</v>
      </c>
      <c r="K160" s="31">
        <f t="shared" ref="K160:K161" si="87">J160</f>
        <v>0</v>
      </c>
      <c r="L160" s="31">
        <f t="shared" ref="L160" si="88">K160</f>
        <v>0</v>
      </c>
      <c r="M160" s="31">
        <f>L160</f>
        <v>0</v>
      </c>
    </row>
    <row r="161" spans="1:13" s="30" customFormat="1" x14ac:dyDescent="0.25">
      <c r="A161" s="53"/>
      <c r="B161" s="53"/>
      <c r="C161" s="30" t="s">
        <v>38</v>
      </c>
      <c r="D161" s="31">
        <v>1</v>
      </c>
      <c r="E161" s="31">
        <v>1</v>
      </c>
      <c r="F161" s="31">
        <v>0</v>
      </c>
      <c r="G161" s="31">
        <v>0</v>
      </c>
      <c r="H161" s="31">
        <v>0</v>
      </c>
      <c r="I161" s="31">
        <v>0</v>
      </c>
      <c r="J161" s="31">
        <f t="shared" si="86"/>
        <v>0</v>
      </c>
      <c r="K161" s="31">
        <f t="shared" si="87"/>
        <v>0</v>
      </c>
      <c r="L161" s="31">
        <v>0</v>
      </c>
      <c r="M161" s="31">
        <v>0</v>
      </c>
    </row>
    <row r="162" spans="1:13" s="30" customFormat="1" ht="13.5" customHeight="1" x14ac:dyDescent="0.25">
      <c r="A162" s="28"/>
      <c r="B162" s="32"/>
      <c r="C162" s="30" t="s">
        <v>29</v>
      </c>
      <c r="D162" s="31">
        <v>0</v>
      </c>
      <c r="E162" s="31">
        <v>0</v>
      </c>
      <c r="F162" s="31">
        <v>1</v>
      </c>
      <c r="G162" s="31">
        <v>1</v>
      </c>
      <c r="H162" s="31">
        <v>1</v>
      </c>
      <c r="I162" s="31">
        <v>1</v>
      </c>
      <c r="J162" s="31">
        <f>I162</f>
        <v>1</v>
      </c>
      <c r="K162" s="31">
        <f>J162</f>
        <v>1</v>
      </c>
      <c r="L162" s="31">
        <v>1</v>
      </c>
      <c r="M162" s="31">
        <v>1</v>
      </c>
    </row>
    <row r="163" spans="1:13" s="30" customFormat="1" ht="13.5" customHeight="1" x14ac:dyDescent="0.25">
      <c r="A163" s="28"/>
      <c r="B163" s="32"/>
      <c r="D163" s="33"/>
      <c r="E163" s="33"/>
      <c r="F163" s="33"/>
      <c r="G163" s="33"/>
      <c r="H163" s="33"/>
      <c r="I163" s="33"/>
      <c r="J163" s="33"/>
      <c r="K163" s="33"/>
    </row>
    <row r="164" spans="1:13" ht="15.75" thickBot="1" x14ac:dyDescent="0.3">
      <c r="A164" s="16"/>
      <c r="B164" s="17"/>
      <c r="C164" s="34" t="s">
        <v>39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 spans="1:13" ht="15.75" thickBot="1" x14ac:dyDescent="0.3">
      <c r="A165" s="16"/>
      <c r="B165" s="35" t="s">
        <v>40</v>
      </c>
      <c r="C165" s="36">
        <f>NPV(RDR,D165:M165)*(1+RDR)</f>
        <v>1.7510238570427064</v>
      </c>
      <c r="D165" s="37">
        <f>(D161*$I$122)+(D162*$J$122)-I156</f>
        <v>0</v>
      </c>
      <c r="E165" s="37">
        <f>(E161*$I$122)+(E162*$J$122)</f>
        <v>0.39731666666666665</v>
      </c>
      <c r="F165" s="37">
        <f t="shared" ref="F165:M165" si="89">(F161*$I$122)+(F162*$J$122)</f>
        <v>0.24607999999999999</v>
      </c>
      <c r="G165" s="37">
        <f t="shared" si="89"/>
        <v>0.24607999999999999</v>
      </c>
      <c r="H165" s="37">
        <f t="shared" si="89"/>
        <v>0.24607999999999999</v>
      </c>
      <c r="I165" s="37">
        <f t="shared" si="89"/>
        <v>0.24607999999999999</v>
      </c>
      <c r="J165" s="37">
        <f t="shared" si="89"/>
        <v>0.24607999999999999</v>
      </c>
      <c r="K165" s="37">
        <f t="shared" si="89"/>
        <v>0.24607999999999999</v>
      </c>
      <c r="L165" s="37">
        <f t="shared" si="89"/>
        <v>0.24607999999999999</v>
      </c>
      <c r="M165" s="37">
        <f t="shared" si="89"/>
        <v>0.24607999999999999</v>
      </c>
    </row>
    <row r="166" spans="1:13" x14ac:dyDescent="0.25">
      <c r="A166" s="16"/>
      <c r="B166" s="35" t="s">
        <v>41</v>
      </c>
      <c r="C166" s="38">
        <f>-PMT(RDR,B154,C165,,)</f>
        <v>0.24824761932263914</v>
      </c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 ht="15.75" thickBot="1" x14ac:dyDescent="0.3">
      <c r="A167" s="16"/>
      <c r="B167" s="19" t="s">
        <v>42</v>
      </c>
      <c r="C167" s="39">
        <v>1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</sheetData>
  <mergeCells count="49">
    <mergeCell ref="A36:B37"/>
    <mergeCell ref="E47:H47"/>
    <mergeCell ref="E48:H48"/>
    <mergeCell ref="E49:H49"/>
    <mergeCell ref="A1:J1"/>
    <mergeCell ref="E13:H13"/>
    <mergeCell ref="E14:H14"/>
    <mergeCell ref="E15:H15"/>
    <mergeCell ref="A19:B20"/>
    <mergeCell ref="I11:J11"/>
    <mergeCell ref="A4:A5"/>
    <mergeCell ref="B4:D4"/>
    <mergeCell ref="E4:G4"/>
    <mergeCell ref="I28:J28"/>
    <mergeCell ref="E30:H30"/>
    <mergeCell ref="E31:H31"/>
    <mergeCell ref="E32:H32"/>
    <mergeCell ref="I98:J98"/>
    <mergeCell ref="I45:J45"/>
    <mergeCell ref="I64:J64"/>
    <mergeCell ref="E66:H66"/>
    <mergeCell ref="E67:H67"/>
    <mergeCell ref="E68:H68"/>
    <mergeCell ref="I81:J81"/>
    <mergeCell ref="I152:J152"/>
    <mergeCell ref="E102:H102"/>
    <mergeCell ref="I118:J118"/>
    <mergeCell ref="E120:H120"/>
    <mergeCell ref="E121:H121"/>
    <mergeCell ref="E122:H122"/>
    <mergeCell ref="I135:J135"/>
    <mergeCell ref="E137:H137"/>
    <mergeCell ref="E138:H138"/>
    <mergeCell ref="E139:H139"/>
    <mergeCell ref="A143:B144"/>
    <mergeCell ref="E154:H154"/>
    <mergeCell ref="E155:H155"/>
    <mergeCell ref="E156:H156"/>
    <mergeCell ref="A160:B161"/>
    <mergeCell ref="A53:B54"/>
    <mergeCell ref="A126:B127"/>
    <mergeCell ref="E83:H83"/>
    <mergeCell ref="E84:H84"/>
    <mergeCell ref="E85:H85"/>
    <mergeCell ref="A72:B73"/>
    <mergeCell ref="A89:B90"/>
    <mergeCell ref="A106:B107"/>
    <mergeCell ref="E100:H100"/>
    <mergeCell ref="E101:H10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7"/>
  <sheetViews>
    <sheetView tabSelected="1" workbookViewId="0">
      <selection activeCell="J7" sqref="J7"/>
    </sheetView>
  </sheetViews>
  <sheetFormatPr defaultRowHeight="15" x14ac:dyDescent="0.25"/>
  <cols>
    <col min="1" max="1" width="22.42578125" style="18" customWidth="1"/>
    <col min="2" max="2" width="10.7109375" style="18" customWidth="1"/>
    <col min="3" max="3" width="11.140625" style="18" customWidth="1"/>
    <col min="4" max="4" width="11.5703125" style="18" bestFit="1" customWidth="1"/>
    <col min="5" max="5" width="10.5703125" style="18" customWidth="1"/>
    <col min="6" max="6" width="10.42578125" style="18" customWidth="1"/>
    <col min="7" max="7" width="11.28515625" style="18" bestFit="1" customWidth="1"/>
    <col min="8" max="8" width="9.140625" style="18"/>
    <col min="9" max="9" width="10.140625" style="18" customWidth="1"/>
    <col min="10" max="16384" width="9.140625" style="18"/>
  </cols>
  <sheetData>
    <row r="1" spans="1:21" s="15" customFormat="1" ht="18" x14ac:dyDescent="0.25">
      <c r="A1" s="59" t="s">
        <v>25</v>
      </c>
      <c r="B1" s="59"/>
      <c r="C1" s="59"/>
      <c r="D1" s="59"/>
      <c r="E1" s="59"/>
      <c r="F1" s="59"/>
      <c r="G1" s="59"/>
      <c r="H1" s="59"/>
      <c r="I1" s="59"/>
      <c r="J1" s="59"/>
    </row>
    <row r="2" spans="1:21" x14ac:dyDescent="0.25">
      <c r="A2" s="16"/>
      <c r="B2" s="17"/>
      <c r="C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5.75" thickBot="1" x14ac:dyDescent="0.3">
      <c r="A3" s="16"/>
      <c r="B3" s="17"/>
      <c r="C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5.75" thickBot="1" x14ac:dyDescent="0.3">
      <c r="A4" s="60" t="s">
        <v>46</v>
      </c>
      <c r="B4" s="62" t="s">
        <v>47</v>
      </c>
      <c r="C4" s="63"/>
      <c r="D4" s="64"/>
      <c r="E4" s="62" t="s">
        <v>48</v>
      </c>
      <c r="F4" s="63"/>
      <c r="G4" s="64"/>
      <c r="J4" s="17"/>
      <c r="R4" s="17"/>
      <c r="S4" s="17"/>
      <c r="T4" s="17"/>
      <c r="U4" s="17"/>
    </row>
    <row r="5" spans="1:21" ht="15.75" thickBot="1" x14ac:dyDescent="0.3">
      <c r="A5" s="61"/>
      <c r="B5" s="45" t="s">
        <v>49</v>
      </c>
      <c r="C5" s="45" t="s">
        <v>50</v>
      </c>
      <c r="D5" s="45" t="s">
        <v>51</v>
      </c>
      <c r="E5" s="45" t="s">
        <v>49</v>
      </c>
      <c r="F5" s="45" t="s">
        <v>50</v>
      </c>
      <c r="G5" s="45" t="s">
        <v>51</v>
      </c>
      <c r="J5" s="17"/>
      <c r="R5" s="17"/>
      <c r="S5" s="17"/>
      <c r="T5" s="17"/>
      <c r="U5" s="17"/>
    </row>
    <row r="6" spans="1:21" ht="26.25" thickBot="1" x14ac:dyDescent="0.3">
      <c r="A6" s="46" t="s">
        <v>52</v>
      </c>
      <c r="B6" s="47">
        <f>C24</f>
        <v>3.3881178371011424</v>
      </c>
      <c r="C6" s="47">
        <f>C41</f>
        <v>3.2675704821337543</v>
      </c>
      <c r="D6" s="47">
        <f>C58</f>
        <v>3.1386956757027673</v>
      </c>
      <c r="E6" s="47">
        <f>C25</f>
        <v>0.48034307680161675</v>
      </c>
      <c r="F6" s="47">
        <f>C42</f>
        <v>0.4632527363325632</v>
      </c>
      <c r="G6" s="47">
        <f>C59</f>
        <v>0.44498178944712724</v>
      </c>
      <c r="J6" s="17"/>
      <c r="R6" s="17"/>
      <c r="S6" s="17"/>
      <c r="T6" s="17"/>
      <c r="U6" s="17"/>
    </row>
    <row r="7" spans="1:21" ht="15.75" thickBot="1" x14ac:dyDescent="0.3">
      <c r="A7" s="46" t="s">
        <v>53</v>
      </c>
      <c r="B7" s="47">
        <f>C77</f>
        <v>5.0921997642845085</v>
      </c>
      <c r="C7" s="47">
        <f>C94</f>
        <v>4.8781467583018765</v>
      </c>
      <c r="D7" s="47">
        <f>C111</f>
        <v>4.6493068993149622</v>
      </c>
      <c r="E7" s="47">
        <f>C78</f>
        <v>0.84974251244586618</v>
      </c>
      <c r="F7" s="47">
        <f>C95</f>
        <v>0.81402318729762579</v>
      </c>
      <c r="G7" s="47">
        <f>C112</f>
        <v>0.77583635926170325</v>
      </c>
      <c r="J7" s="17"/>
      <c r="R7" s="17"/>
      <c r="S7" s="17"/>
      <c r="T7" s="17"/>
      <c r="U7" s="17"/>
    </row>
    <row r="8" spans="1:21" ht="15.75" thickBot="1" x14ac:dyDescent="0.3">
      <c r="A8" s="46" t="s">
        <v>54</v>
      </c>
      <c r="B8" s="47">
        <f>C131</f>
        <v>3.5208954280145659</v>
      </c>
      <c r="C8" s="47">
        <f>C148</f>
        <v>3.3956239199471043</v>
      </c>
      <c r="D8" s="47">
        <f>C165</f>
        <v>3.2616986143451734</v>
      </c>
      <c r="E8" s="47">
        <f>C132</f>
        <v>0.49916733251411255</v>
      </c>
      <c r="F8" s="47">
        <f>C149</f>
        <v>0.48140723545910963</v>
      </c>
      <c r="G8" s="47">
        <f>C166</f>
        <v>0.46242026497951472</v>
      </c>
      <c r="J8" s="17"/>
      <c r="R8" s="17"/>
      <c r="S8" s="17"/>
      <c r="T8" s="17"/>
      <c r="U8" s="17"/>
    </row>
    <row r="9" spans="1:21" x14ac:dyDescent="0.25">
      <c r="A9" s="16"/>
      <c r="B9" s="17"/>
      <c r="C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1" x14ac:dyDescent="0.25">
      <c r="A10" s="16"/>
      <c r="B10" s="17"/>
      <c r="C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x14ac:dyDescent="0.25">
      <c r="A11" s="16" t="s">
        <v>43</v>
      </c>
      <c r="B11" s="17"/>
      <c r="C11" s="17"/>
      <c r="I11" s="57" t="s">
        <v>26</v>
      </c>
      <c r="J11" s="58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26.25" x14ac:dyDescent="0.25">
      <c r="A12" s="19" t="s">
        <v>27</v>
      </c>
      <c r="B12" s="20">
        <v>2016</v>
      </c>
      <c r="C12" s="17"/>
      <c r="H12" s="17"/>
      <c r="I12" s="21" t="s">
        <v>55</v>
      </c>
      <c r="J12" s="21" t="s">
        <v>29</v>
      </c>
      <c r="K12" s="17"/>
      <c r="L12" s="17"/>
      <c r="M12" s="22" t="s">
        <v>30</v>
      </c>
      <c r="N12" s="23">
        <v>740</v>
      </c>
      <c r="O12" s="17"/>
      <c r="P12" s="17"/>
      <c r="Q12" s="17"/>
      <c r="R12" s="17"/>
      <c r="S12" s="17"/>
      <c r="T12" s="17"/>
      <c r="U12" s="17"/>
    </row>
    <row r="13" spans="1:21" ht="15.75" thickBot="1" x14ac:dyDescent="0.3">
      <c r="A13" s="19" t="s">
        <v>31</v>
      </c>
      <c r="B13" s="24">
        <v>10</v>
      </c>
      <c r="C13" s="17"/>
      <c r="E13" s="54" t="s">
        <v>32</v>
      </c>
      <c r="F13" s="54"/>
      <c r="G13" s="54"/>
      <c r="H13" s="54"/>
      <c r="I13" s="20">
        <f>0.7*1000+0.25*10000+0.05*20000</f>
        <v>4200</v>
      </c>
      <c r="J13" s="20">
        <v>10000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15.75" thickBot="1" x14ac:dyDescent="0.3">
      <c r="A14" s="17" t="s">
        <v>33</v>
      </c>
      <c r="B14" s="25">
        <f>'Omni O&amp;M Calc &lt;15W'!RDR</f>
        <v>6.9080333333333341E-2</v>
      </c>
      <c r="C14" s="17"/>
      <c r="E14" s="54" t="s">
        <v>34</v>
      </c>
      <c r="F14" s="54"/>
      <c r="G14" s="54"/>
      <c r="H14" s="54"/>
      <c r="I14" s="26">
        <v>3.44</v>
      </c>
      <c r="J14" s="26">
        <v>6.2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A15" s="16"/>
      <c r="B15" s="17"/>
      <c r="C15" s="17"/>
      <c r="E15" s="54" t="s">
        <v>35</v>
      </c>
      <c r="F15" s="54"/>
      <c r="G15" s="54"/>
      <c r="H15" s="54"/>
      <c r="I15" s="27">
        <f>$N$12/I13*I14</f>
        <v>0.60609523809523813</v>
      </c>
      <c r="J15" s="27">
        <f>$N$12/J13*J14</f>
        <v>0.45879999999999999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</row>
    <row r="16" spans="1:2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24" ht="12" customHeight="1" x14ac:dyDescent="0.25">
      <c r="A17" s="28"/>
      <c r="B17" s="16"/>
      <c r="C17" s="16"/>
      <c r="D17" s="16"/>
      <c r="E17" s="16"/>
      <c r="F17" s="16"/>
      <c r="G17" s="17"/>
      <c r="H17" s="17"/>
      <c r="I17" s="17"/>
      <c r="J17" s="17"/>
      <c r="K17" s="17"/>
      <c r="L17" s="17"/>
      <c r="M17" s="17"/>
    </row>
    <row r="18" spans="1:24" s="30" customFormat="1" ht="12.75" x14ac:dyDescent="0.2">
      <c r="A18" s="29"/>
      <c r="C18" s="30" t="s">
        <v>36</v>
      </c>
      <c r="D18" s="30">
        <f>B12</f>
        <v>2016</v>
      </c>
      <c r="E18" s="30">
        <f>D18+1</f>
        <v>2017</v>
      </c>
      <c r="F18" s="30">
        <f t="shared" ref="F18:M18" si="0">E18+1</f>
        <v>2018</v>
      </c>
      <c r="G18" s="30">
        <f t="shared" si="0"/>
        <v>2019</v>
      </c>
      <c r="H18" s="30">
        <f t="shared" si="0"/>
        <v>2020</v>
      </c>
      <c r="I18" s="30">
        <f t="shared" si="0"/>
        <v>2021</v>
      </c>
      <c r="J18" s="30">
        <f t="shared" si="0"/>
        <v>2022</v>
      </c>
      <c r="K18" s="30">
        <f t="shared" si="0"/>
        <v>2023</v>
      </c>
      <c r="L18" s="30">
        <f t="shared" si="0"/>
        <v>2024</v>
      </c>
      <c r="M18" s="30">
        <f t="shared" si="0"/>
        <v>2025</v>
      </c>
    </row>
    <row r="19" spans="1:24" s="30" customFormat="1" ht="12.75" customHeight="1" x14ac:dyDescent="0.25">
      <c r="A19" s="53" t="s">
        <v>37</v>
      </c>
      <c r="B19" s="53"/>
      <c r="C19" s="30" t="s">
        <v>28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f t="shared" ref="J19:L20" si="1">I19</f>
        <v>0</v>
      </c>
      <c r="K19" s="31">
        <f t="shared" si="1"/>
        <v>0</v>
      </c>
      <c r="L19" s="31">
        <f t="shared" si="1"/>
        <v>0</v>
      </c>
      <c r="M19" s="31">
        <f>L19</f>
        <v>0</v>
      </c>
    </row>
    <row r="20" spans="1:24" s="30" customFormat="1" x14ac:dyDescent="0.25">
      <c r="A20" s="53"/>
      <c r="B20" s="53"/>
      <c r="C20" s="30" t="s">
        <v>38</v>
      </c>
      <c r="D20" s="31">
        <v>1</v>
      </c>
      <c r="E20" s="31">
        <v>1</v>
      </c>
      <c r="F20" s="31">
        <f>1-F19</f>
        <v>1</v>
      </c>
      <c r="G20" s="31">
        <f>1-G19</f>
        <v>1</v>
      </c>
      <c r="H20" s="31">
        <v>0</v>
      </c>
      <c r="I20" s="31">
        <v>0</v>
      </c>
      <c r="J20" s="31">
        <f t="shared" si="1"/>
        <v>0</v>
      </c>
      <c r="K20" s="31">
        <f t="shared" si="1"/>
        <v>0</v>
      </c>
      <c r="L20" s="31">
        <v>0</v>
      </c>
      <c r="M20" s="31">
        <v>0</v>
      </c>
    </row>
    <row r="21" spans="1:24" s="30" customFormat="1" ht="13.5" customHeight="1" x14ac:dyDescent="0.25">
      <c r="A21" s="28"/>
      <c r="B21" s="48"/>
      <c r="C21" s="30" t="s">
        <v>29</v>
      </c>
      <c r="D21" s="31">
        <v>0</v>
      </c>
      <c r="E21" s="31">
        <v>0</v>
      </c>
      <c r="F21" s="31">
        <v>0</v>
      </c>
      <c r="G21" s="31">
        <v>0</v>
      </c>
      <c r="H21" s="31">
        <v>1</v>
      </c>
      <c r="I21" s="31">
        <v>1</v>
      </c>
      <c r="J21" s="31">
        <f>I21</f>
        <v>1</v>
      </c>
      <c r="K21" s="31">
        <f>J21</f>
        <v>1</v>
      </c>
      <c r="L21" s="31">
        <v>1</v>
      </c>
      <c r="M21" s="31">
        <v>1</v>
      </c>
    </row>
    <row r="22" spans="1:24" s="30" customFormat="1" ht="13.5" customHeight="1" x14ac:dyDescent="0.25">
      <c r="A22" s="28"/>
      <c r="B22" s="48"/>
      <c r="D22" s="33"/>
      <c r="E22" s="33"/>
      <c r="F22" s="33"/>
      <c r="G22" s="33"/>
      <c r="H22" s="33"/>
      <c r="I22" s="33"/>
      <c r="J22" s="33"/>
      <c r="K22" s="33"/>
    </row>
    <row r="23" spans="1:24" ht="15.75" thickBot="1" x14ac:dyDescent="0.3">
      <c r="A23" s="16"/>
      <c r="B23" s="17"/>
      <c r="C23" s="34" t="s">
        <v>39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24" ht="15.75" thickBot="1" x14ac:dyDescent="0.3">
      <c r="A24" s="16"/>
      <c r="B24" s="35" t="s">
        <v>40</v>
      </c>
      <c r="C24" s="36">
        <f>NPV(RDR,D24:M24)*(1+RDR)</f>
        <v>3.3881178371011424</v>
      </c>
      <c r="D24" s="37">
        <f>(D20*$I$15)+(D21*$J$15)-I15</f>
        <v>0</v>
      </c>
      <c r="E24" s="37">
        <f t="shared" ref="E24:M24" si="2">(E20*$I$15)+(E21*$J$15)</f>
        <v>0.60609523809523813</v>
      </c>
      <c r="F24" s="37">
        <f t="shared" si="2"/>
        <v>0.60609523809523813</v>
      </c>
      <c r="G24" s="37">
        <f t="shared" si="2"/>
        <v>0.60609523809523813</v>
      </c>
      <c r="H24" s="37">
        <f t="shared" si="2"/>
        <v>0.45879999999999999</v>
      </c>
      <c r="I24" s="37">
        <f t="shared" si="2"/>
        <v>0.45879999999999999</v>
      </c>
      <c r="J24" s="37">
        <f t="shared" si="2"/>
        <v>0.45879999999999999</v>
      </c>
      <c r="K24" s="37">
        <f t="shared" si="2"/>
        <v>0.45879999999999999</v>
      </c>
      <c r="L24" s="37">
        <f t="shared" si="2"/>
        <v>0.45879999999999999</v>
      </c>
      <c r="M24" s="37">
        <f t="shared" si="2"/>
        <v>0.45879999999999999</v>
      </c>
    </row>
    <row r="25" spans="1:24" x14ac:dyDescent="0.25">
      <c r="A25" s="16"/>
      <c r="B25" s="35" t="s">
        <v>41</v>
      </c>
      <c r="C25" s="38">
        <f>-PMT(RDR,B13,C24,,)</f>
        <v>0.48034307680161675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24" ht="15.75" thickBot="1" x14ac:dyDescent="0.3">
      <c r="A26" s="16"/>
      <c r="B26" s="19" t="s">
        <v>42</v>
      </c>
      <c r="C26" s="39">
        <v>1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24" x14ac:dyDescent="0.25">
      <c r="A27" s="16"/>
      <c r="B27" s="19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s="42" customFormat="1" ht="12.75" customHeight="1" x14ac:dyDescent="0.25">
      <c r="A28" s="40"/>
      <c r="B28" s="41"/>
      <c r="C28" s="41"/>
      <c r="I28" s="55" t="s">
        <v>26</v>
      </c>
      <c r="J28" s="56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spans="1:24" ht="25.5" customHeight="1" x14ac:dyDescent="0.25">
      <c r="A29" s="19" t="s">
        <v>27</v>
      </c>
      <c r="B29" s="20">
        <v>2017</v>
      </c>
      <c r="C29" s="17"/>
      <c r="H29" s="17"/>
      <c r="I29" s="21" t="s">
        <v>55</v>
      </c>
      <c r="J29" s="21" t="s">
        <v>29</v>
      </c>
      <c r="K29" s="17"/>
      <c r="L29" s="17"/>
      <c r="M29" s="22" t="s">
        <v>30</v>
      </c>
      <c r="N29" s="23">
        <v>740</v>
      </c>
      <c r="O29" s="17"/>
      <c r="P29" s="17"/>
      <c r="Q29" s="17"/>
      <c r="R29" s="17"/>
      <c r="S29" s="17"/>
      <c r="T29" s="17"/>
      <c r="U29" s="17"/>
    </row>
    <row r="30" spans="1:24" ht="12.75" customHeight="1" thickBot="1" x14ac:dyDescent="0.3">
      <c r="A30" s="19" t="s">
        <v>31</v>
      </c>
      <c r="B30" s="24">
        <v>10</v>
      </c>
      <c r="C30" s="17"/>
      <c r="E30" s="54" t="s">
        <v>32</v>
      </c>
      <c r="F30" s="54"/>
      <c r="G30" s="54"/>
      <c r="H30" s="54"/>
      <c r="I30" s="20">
        <f>I13</f>
        <v>4200</v>
      </c>
      <c r="J30" s="20">
        <v>10000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</row>
    <row r="31" spans="1:24" ht="12.75" customHeight="1" thickBot="1" x14ac:dyDescent="0.3">
      <c r="A31" s="17" t="s">
        <v>33</v>
      </c>
      <c r="B31" s="25">
        <f>RDR</f>
        <v>6.9080333333333341E-2</v>
      </c>
      <c r="C31" s="17"/>
      <c r="E31" s="54" t="s">
        <v>34</v>
      </c>
      <c r="F31" s="54"/>
      <c r="G31" s="54"/>
      <c r="H31" s="54"/>
      <c r="I31" s="26">
        <f>I14</f>
        <v>3.44</v>
      </c>
      <c r="J31" s="26">
        <f>J14</f>
        <v>6.2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 spans="1:24" ht="12.75" customHeight="1" x14ac:dyDescent="0.25">
      <c r="A32" s="16"/>
      <c r="B32" s="17"/>
      <c r="C32" s="17"/>
      <c r="E32" s="54" t="s">
        <v>35</v>
      </c>
      <c r="F32" s="54"/>
      <c r="G32" s="54"/>
      <c r="H32" s="54"/>
      <c r="I32" s="27">
        <f>$N$12/I30*I31</f>
        <v>0.60609523809523813</v>
      </c>
      <c r="J32" s="27">
        <f>$N$12/J30*J31</f>
        <v>0.45879999999999999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</row>
    <row r="33" spans="1:21" x14ac:dyDescent="0.25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21" x14ac:dyDescent="0.25">
      <c r="A34" s="28"/>
      <c r="B34" s="16"/>
      <c r="C34" s="16"/>
      <c r="D34" s="16"/>
      <c r="E34" s="16"/>
      <c r="F34" s="16"/>
      <c r="G34" s="17"/>
      <c r="H34" s="17"/>
      <c r="I34" s="17"/>
      <c r="J34" s="17"/>
      <c r="K34" s="17"/>
      <c r="L34" s="17"/>
      <c r="M34" s="17"/>
    </row>
    <row r="35" spans="1:21" s="30" customFormat="1" ht="12.75" x14ac:dyDescent="0.2">
      <c r="A35" s="29"/>
      <c r="C35" s="30" t="s">
        <v>36</v>
      </c>
      <c r="D35" s="30">
        <f>B29</f>
        <v>2017</v>
      </c>
      <c r="E35" s="30">
        <f>D35+1</f>
        <v>2018</v>
      </c>
      <c r="F35" s="30">
        <f t="shared" ref="F35:M35" si="3">E35+1</f>
        <v>2019</v>
      </c>
      <c r="G35" s="30">
        <f t="shared" si="3"/>
        <v>2020</v>
      </c>
      <c r="H35" s="30">
        <f t="shared" si="3"/>
        <v>2021</v>
      </c>
      <c r="I35" s="30">
        <f t="shared" si="3"/>
        <v>2022</v>
      </c>
      <c r="J35" s="30">
        <f t="shared" si="3"/>
        <v>2023</v>
      </c>
      <c r="K35" s="30">
        <f t="shared" si="3"/>
        <v>2024</v>
      </c>
      <c r="L35" s="30">
        <f t="shared" si="3"/>
        <v>2025</v>
      </c>
      <c r="M35" s="30">
        <f t="shared" si="3"/>
        <v>2026</v>
      </c>
    </row>
    <row r="36" spans="1:21" s="30" customFormat="1" x14ac:dyDescent="0.25">
      <c r="A36" s="53" t="s">
        <v>37</v>
      </c>
      <c r="B36" s="53"/>
      <c r="C36" s="30" t="s">
        <v>28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f t="shared" ref="J36:L37" si="4">I36</f>
        <v>0</v>
      </c>
      <c r="K36" s="31">
        <f t="shared" si="4"/>
        <v>0</v>
      </c>
      <c r="L36" s="31">
        <f t="shared" si="4"/>
        <v>0</v>
      </c>
      <c r="M36" s="31">
        <f>L36</f>
        <v>0</v>
      </c>
    </row>
    <row r="37" spans="1:21" s="30" customFormat="1" x14ac:dyDescent="0.25">
      <c r="A37" s="53"/>
      <c r="B37" s="53"/>
      <c r="C37" s="30" t="s">
        <v>38</v>
      </c>
      <c r="D37" s="31">
        <v>1</v>
      </c>
      <c r="E37" s="31">
        <v>1</v>
      </c>
      <c r="F37" s="31">
        <f>1-F36</f>
        <v>1</v>
      </c>
      <c r="G37" s="31">
        <v>0</v>
      </c>
      <c r="H37" s="31">
        <v>0</v>
      </c>
      <c r="I37" s="31">
        <v>0</v>
      </c>
      <c r="J37" s="31">
        <f t="shared" si="4"/>
        <v>0</v>
      </c>
      <c r="K37" s="31">
        <f t="shared" si="4"/>
        <v>0</v>
      </c>
      <c r="L37" s="31">
        <v>0</v>
      </c>
      <c r="M37" s="31">
        <v>0</v>
      </c>
    </row>
    <row r="38" spans="1:21" s="30" customFormat="1" x14ac:dyDescent="0.25">
      <c r="A38" s="28"/>
      <c r="B38" s="48"/>
      <c r="C38" s="30" t="s">
        <v>29</v>
      </c>
      <c r="D38" s="31">
        <v>0</v>
      </c>
      <c r="E38" s="31">
        <v>0</v>
      </c>
      <c r="F38" s="31">
        <v>0</v>
      </c>
      <c r="G38" s="31">
        <v>1</v>
      </c>
      <c r="H38" s="31">
        <v>1</v>
      </c>
      <c r="I38" s="31">
        <v>1</v>
      </c>
      <c r="J38" s="31">
        <f>I38</f>
        <v>1</v>
      </c>
      <c r="K38" s="31">
        <f>J38</f>
        <v>1</v>
      </c>
      <c r="L38" s="31">
        <v>1</v>
      </c>
      <c r="M38" s="31">
        <v>1</v>
      </c>
    </row>
    <row r="39" spans="1:21" s="30" customFormat="1" x14ac:dyDescent="0.25">
      <c r="A39" s="28"/>
      <c r="B39" s="48"/>
      <c r="D39" s="33"/>
      <c r="E39" s="33"/>
      <c r="F39" s="33"/>
      <c r="G39" s="33"/>
      <c r="H39" s="33"/>
      <c r="I39" s="33"/>
      <c r="J39" s="33"/>
      <c r="K39" s="33"/>
    </row>
    <row r="40" spans="1:21" ht="15.75" thickBot="1" x14ac:dyDescent="0.3">
      <c r="A40" s="16"/>
      <c r="B40" s="17"/>
      <c r="C40" s="34" t="s">
        <v>39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21" ht="15.75" thickBot="1" x14ac:dyDescent="0.3">
      <c r="A41" s="16"/>
      <c r="B41" s="35" t="s">
        <v>40</v>
      </c>
      <c r="C41" s="36">
        <f>NPV(RDR,D41:M41)*(1+RDR)</f>
        <v>3.2675704821337543</v>
      </c>
      <c r="D41" s="37">
        <f>(D37*$I$15)+(D38*$J$15)-I32</f>
        <v>0</v>
      </c>
      <c r="E41" s="37">
        <f t="shared" ref="E41:M41" si="5">(E37*$I$15)+(E38*$J$15)</f>
        <v>0.60609523809523813</v>
      </c>
      <c r="F41" s="37">
        <f t="shared" si="5"/>
        <v>0.60609523809523813</v>
      </c>
      <c r="G41" s="37">
        <f t="shared" si="5"/>
        <v>0.45879999999999999</v>
      </c>
      <c r="H41" s="37">
        <f t="shared" si="5"/>
        <v>0.45879999999999999</v>
      </c>
      <c r="I41" s="37">
        <f t="shared" si="5"/>
        <v>0.45879999999999999</v>
      </c>
      <c r="J41" s="37">
        <f t="shared" si="5"/>
        <v>0.45879999999999999</v>
      </c>
      <c r="K41" s="37">
        <f t="shared" si="5"/>
        <v>0.45879999999999999</v>
      </c>
      <c r="L41" s="37">
        <f t="shared" si="5"/>
        <v>0.45879999999999999</v>
      </c>
      <c r="M41" s="37">
        <f t="shared" si="5"/>
        <v>0.45879999999999999</v>
      </c>
    </row>
    <row r="42" spans="1:21" x14ac:dyDescent="0.25">
      <c r="A42" s="16"/>
      <c r="B42" s="35" t="s">
        <v>41</v>
      </c>
      <c r="C42" s="38">
        <f>-PMT(RDR,B30,C41,,)</f>
        <v>0.4632527363325632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21" ht="15.75" thickBot="1" x14ac:dyDescent="0.3">
      <c r="A43" s="16"/>
      <c r="B43" s="19" t="s">
        <v>42</v>
      </c>
      <c r="C43" s="39">
        <v>1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5" spans="1:21" s="42" customFormat="1" x14ac:dyDescent="0.25">
      <c r="A45" s="40"/>
      <c r="B45" s="41"/>
      <c r="C45" s="41"/>
      <c r="I45" s="55" t="s">
        <v>26</v>
      </c>
      <c r="J45" s="56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pans="1:21" ht="26.25" x14ac:dyDescent="0.25">
      <c r="A46" s="19" t="s">
        <v>27</v>
      </c>
      <c r="B46" s="20">
        <v>2018</v>
      </c>
      <c r="C46" s="17"/>
      <c r="H46" s="17"/>
      <c r="I46" s="21" t="s">
        <v>55</v>
      </c>
      <c r="J46" s="21" t="s">
        <v>29</v>
      </c>
      <c r="K46" s="17"/>
      <c r="L46" s="17"/>
      <c r="M46" s="22" t="s">
        <v>30</v>
      </c>
      <c r="N46" s="23">
        <v>740</v>
      </c>
      <c r="O46" s="17"/>
      <c r="P46" s="17"/>
      <c r="Q46" s="17"/>
      <c r="R46" s="17"/>
      <c r="S46" s="17"/>
      <c r="T46" s="17"/>
      <c r="U46" s="17"/>
    </row>
    <row r="47" spans="1:21" ht="15.75" thickBot="1" x14ac:dyDescent="0.3">
      <c r="A47" s="19" t="s">
        <v>31</v>
      </c>
      <c r="B47" s="24">
        <v>10</v>
      </c>
      <c r="C47" s="17"/>
      <c r="E47" s="54" t="s">
        <v>32</v>
      </c>
      <c r="F47" s="54"/>
      <c r="G47" s="54"/>
      <c r="H47" s="54"/>
      <c r="I47" s="20">
        <f>I30</f>
        <v>4200</v>
      </c>
      <c r="J47" s="20">
        <v>10000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1" ht="15.75" thickBot="1" x14ac:dyDescent="0.3">
      <c r="A48" s="17" t="s">
        <v>33</v>
      </c>
      <c r="B48" s="25">
        <f>RDR</f>
        <v>6.9080333333333341E-2</v>
      </c>
      <c r="C48" s="17"/>
      <c r="E48" s="54" t="s">
        <v>34</v>
      </c>
      <c r="F48" s="54"/>
      <c r="G48" s="54"/>
      <c r="H48" s="54"/>
      <c r="I48" s="26">
        <f>I31</f>
        <v>3.44</v>
      </c>
      <c r="J48" s="26">
        <f>J31</f>
        <v>6.2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</row>
    <row r="49" spans="1:21" x14ac:dyDescent="0.25">
      <c r="A49" s="16"/>
      <c r="B49" s="17"/>
      <c r="C49" s="17"/>
      <c r="E49" s="54" t="s">
        <v>35</v>
      </c>
      <c r="F49" s="54"/>
      <c r="G49" s="54"/>
      <c r="H49" s="54"/>
      <c r="I49" s="27">
        <f>$N$12/I47*I48</f>
        <v>0.60609523809523813</v>
      </c>
      <c r="J49" s="27">
        <f>$N$12/J47*J48</f>
        <v>0.45879999999999999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</row>
    <row r="50" spans="1:2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21" x14ac:dyDescent="0.25">
      <c r="A51" s="28"/>
      <c r="B51" s="16"/>
      <c r="C51" s="16"/>
      <c r="D51" s="16"/>
      <c r="E51" s="16"/>
      <c r="F51" s="16"/>
      <c r="G51" s="17"/>
      <c r="H51" s="17"/>
      <c r="I51" s="17"/>
      <c r="J51" s="17"/>
      <c r="K51" s="17"/>
      <c r="L51" s="17"/>
      <c r="M51" s="17"/>
    </row>
    <row r="52" spans="1:21" s="30" customFormat="1" ht="12.75" x14ac:dyDescent="0.2">
      <c r="A52" s="29"/>
      <c r="C52" s="30" t="s">
        <v>36</v>
      </c>
      <c r="D52" s="30">
        <f>B46</f>
        <v>2018</v>
      </c>
      <c r="E52" s="30">
        <f>D52+1</f>
        <v>2019</v>
      </c>
      <c r="F52" s="30">
        <f t="shared" ref="F52:M52" si="6">E52+1</f>
        <v>2020</v>
      </c>
      <c r="G52" s="30">
        <f t="shared" si="6"/>
        <v>2021</v>
      </c>
      <c r="H52" s="30">
        <f t="shared" si="6"/>
        <v>2022</v>
      </c>
      <c r="I52" s="30">
        <f t="shared" si="6"/>
        <v>2023</v>
      </c>
      <c r="J52" s="30">
        <f t="shared" si="6"/>
        <v>2024</v>
      </c>
      <c r="K52" s="30">
        <f t="shared" si="6"/>
        <v>2025</v>
      </c>
      <c r="L52" s="30">
        <f t="shared" si="6"/>
        <v>2026</v>
      </c>
      <c r="M52" s="30">
        <f t="shared" si="6"/>
        <v>2027</v>
      </c>
    </row>
    <row r="53" spans="1:21" s="30" customFormat="1" x14ac:dyDescent="0.25">
      <c r="A53" s="53" t="s">
        <v>37</v>
      </c>
      <c r="B53" s="53"/>
      <c r="C53" s="30" t="s">
        <v>28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f t="shared" ref="J53:L54" si="7">I53</f>
        <v>0</v>
      </c>
      <c r="K53" s="31">
        <f t="shared" si="7"/>
        <v>0</v>
      </c>
      <c r="L53" s="31">
        <f t="shared" si="7"/>
        <v>0</v>
      </c>
      <c r="M53" s="31">
        <f>L53</f>
        <v>0</v>
      </c>
    </row>
    <row r="54" spans="1:21" s="30" customFormat="1" x14ac:dyDescent="0.25">
      <c r="A54" s="53"/>
      <c r="B54" s="53"/>
      <c r="C54" s="30" t="s">
        <v>38</v>
      </c>
      <c r="D54" s="31">
        <v>1</v>
      </c>
      <c r="E54" s="31">
        <v>1</v>
      </c>
      <c r="F54" s="31">
        <v>0</v>
      </c>
      <c r="G54" s="31">
        <v>0</v>
      </c>
      <c r="H54" s="31">
        <v>0</v>
      </c>
      <c r="I54" s="31">
        <v>0</v>
      </c>
      <c r="J54" s="31">
        <f t="shared" si="7"/>
        <v>0</v>
      </c>
      <c r="K54" s="31">
        <f t="shared" si="7"/>
        <v>0</v>
      </c>
      <c r="L54" s="31">
        <v>0</v>
      </c>
      <c r="M54" s="31">
        <v>0</v>
      </c>
    </row>
    <row r="55" spans="1:21" s="30" customFormat="1" x14ac:dyDescent="0.25">
      <c r="A55" s="28"/>
      <c r="B55" s="48"/>
      <c r="C55" s="30" t="s">
        <v>29</v>
      </c>
      <c r="D55" s="31">
        <v>0</v>
      </c>
      <c r="E55" s="31">
        <v>0</v>
      </c>
      <c r="F55" s="31">
        <v>1</v>
      </c>
      <c r="G55" s="31">
        <v>1</v>
      </c>
      <c r="H55" s="31">
        <v>1</v>
      </c>
      <c r="I55" s="31">
        <v>1</v>
      </c>
      <c r="J55" s="31">
        <f>I55</f>
        <v>1</v>
      </c>
      <c r="K55" s="31">
        <f>J55</f>
        <v>1</v>
      </c>
      <c r="L55" s="31">
        <v>1</v>
      </c>
      <c r="M55" s="31">
        <v>1</v>
      </c>
    </row>
    <row r="56" spans="1:21" s="30" customFormat="1" x14ac:dyDescent="0.25">
      <c r="A56" s="28"/>
      <c r="B56" s="48"/>
      <c r="D56" s="33"/>
      <c r="E56" s="33"/>
      <c r="F56" s="33"/>
      <c r="G56" s="33"/>
      <c r="H56" s="33"/>
      <c r="I56" s="33"/>
      <c r="J56" s="33"/>
      <c r="K56" s="33"/>
    </row>
    <row r="57" spans="1:21" ht="15.75" thickBot="1" x14ac:dyDescent="0.3">
      <c r="A57" s="16"/>
      <c r="B57" s="17"/>
      <c r="C57" s="34" t="s">
        <v>39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21" ht="15.75" thickBot="1" x14ac:dyDescent="0.3">
      <c r="A58" s="16"/>
      <c r="B58" s="35" t="s">
        <v>40</v>
      </c>
      <c r="C58" s="36">
        <f>NPV(RDR,D58:M58)*(1+RDR)</f>
        <v>3.1386956757027673</v>
      </c>
      <c r="D58" s="37">
        <f>(D54*$I$15)+(D55*$J$15)-I49</f>
        <v>0</v>
      </c>
      <c r="E58" s="37">
        <f>(E54*$I$15)+(E55*$J$15)</f>
        <v>0.60609523809523813</v>
      </c>
      <c r="F58" s="37">
        <f t="shared" ref="F58:M58" si="8">(F54*$I$15)+(F55*$J$15)</f>
        <v>0.45879999999999999</v>
      </c>
      <c r="G58" s="37">
        <f t="shared" si="8"/>
        <v>0.45879999999999999</v>
      </c>
      <c r="H58" s="37">
        <f t="shared" si="8"/>
        <v>0.45879999999999999</v>
      </c>
      <c r="I58" s="37">
        <f t="shared" si="8"/>
        <v>0.45879999999999999</v>
      </c>
      <c r="J58" s="37">
        <f t="shared" si="8"/>
        <v>0.45879999999999999</v>
      </c>
      <c r="K58" s="37">
        <f t="shared" si="8"/>
        <v>0.45879999999999999</v>
      </c>
      <c r="L58" s="37">
        <f t="shared" si="8"/>
        <v>0.45879999999999999</v>
      </c>
      <c r="M58" s="37">
        <f t="shared" si="8"/>
        <v>0.45879999999999999</v>
      </c>
    </row>
    <row r="59" spans="1:21" x14ac:dyDescent="0.25">
      <c r="A59" s="16"/>
      <c r="B59" s="35" t="s">
        <v>41</v>
      </c>
      <c r="C59" s="38">
        <f>-PMT(RDR,B47,C58,,)</f>
        <v>0.44498178944712724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 spans="1:21" ht="15.75" thickBot="1" x14ac:dyDescent="0.3">
      <c r="A60" s="16"/>
      <c r="B60" s="19" t="s">
        <v>42</v>
      </c>
      <c r="C60" s="39">
        <v>1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3" spans="1:21" s="43" customFormat="1" x14ac:dyDescent="0.25"/>
    <row r="64" spans="1:21" x14ac:dyDescent="0.25">
      <c r="A64" s="16" t="s">
        <v>44</v>
      </c>
      <c r="B64" s="17"/>
      <c r="C64" s="17"/>
      <c r="I64" s="57" t="s">
        <v>26</v>
      </c>
      <c r="J64" s="58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</row>
    <row r="65" spans="1:24" ht="25.5" customHeight="1" x14ac:dyDescent="0.25">
      <c r="A65" s="19" t="s">
        <v>27</v>
      </c>
      <c r="B65" s="20">
        <v>2016</v>
      </c>
      <c r="C65" s="17"/>
      <c r="H65" s="17"/>
      <c r="I65" s="21" t="s">
        <v>55</v>
      </c>
      <c r="J65" s="21" t="s">
        <v>29</v>
      </c>
      <c r="K65" s="17"/>
      <c r="L65" s="17"/>
      <c r="M65" s="22" t="s">
        <v>30</v>
      </c>
      <c r="N65" s="23">
        <v>1314</v>
      </c>
      <c r="O65" s="17"/>
      <c r="P65" s="17"/>
      <c r="Q65" s="17"/>
      <c r="R65" s="17"/>
      <c r="S65" s="17"/>
      <c r="T65" s="17"/>
      <c r="U65" s="17"/>
    </row>
    <row r="66" spans="1:24" ht="12.75" customHeight="1" thickBot="1" x14ac:dyDescent="0.3">
      <c r="A66" s="19" t="s">
        <v>31</v>
      </c>
      <c r="B66" s="24">
        <v>8</v>
      </c>
      <c r="C66" s="17"/>
      <c r="E66" s="54" t="s">
        <v>32</v>
      </c>
      <c r="F66" s="54"/>
      <c r="G66" s="54"/>
      <c r="H66" s="54"/>
      <c r="I66" s="20">
        <f>I47</f>
        <v>4200</v>
      </c>
      <c r="J66" s="20">
        <v>10000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</row>
    <row r="67" spans="1:24" ht="12.75" customHeight="1" thickBot="1" x14ac:dyDescent="0.3">
      <c r="A67" s="17" t="s">
        <v>33</v>
      </c>
      <c r="B67" s="25">
        <f>RDR</f>
        <v>6.9080333333333341E-2</v>
      </c>
      <c r="C67" s="17"/>
      <c r="E67" s="54" t="s">
        <v>34</v>
      </c>
      <c r="F67" s="54"/>
      <c r="G67" s="54"/>
      <c r="H67" s="54"/>
      <c r="I67" s="26">
        <f>I48</f>
        <v>3.44</v>
      </c>
      <c r="J67" s="26">
        <v>6.2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</row>
    <row r="68" spans="1:24" ht="12.75" customHeight="1" x14ac:dyDescent="0.25">
      <c r="A68" s="16"/>
      <c r="B68" s="17"/>
      <c r="C68" s="17"/>
      <c r="E68" s="54" t="s">
        <v>35</v>
      </c>
      <c r="F68" s="54"/>
      <c r="G68" s="54"/>
      <c r="H68" s="54"/>
      <c r="I68" s="27">
        <f>$N$65/I66*I67</f>
        <v>1.0762285714285713</v>
      </c>
      <c r="J68" s="27">
        <f>$N$65/J66*J67</f>
        <v>0.81467999999999996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</row>
    <row r="69" spans="1:24" ht="12.75" customHeight="1" x14ac:dyDescent="0.25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30"/>
      <c r="M69" s="30"/>
    </row>
    <row r="70" spans="1:24" ht="12" customHeight="1" x14ac:dyDescent="0.25">
      <c r="A70" s="28"/>
      <c r="B70" s="16"/>
      <c r="C70" s="16"/>
      <c r="D70" s="16"/>
      <c r="E70" s="16"/>
      <c r="F70" s="16"/>
      <c r="G70" s="17"/>
      <c r="H70" s="17"/>
      <c r="I70" s="17"/>
      <c r="J70" s="17"/>
      <c r="K70" s="17"/>
      <c r="L70" s="30"/>
      <c r="M70" s="30"/>
    </row>
    <row r="71" spans="1:24" s="30" customFormat="1" ht="12.75" x14ac:dyDescent="0.2">
      <c r="A71" s="29"/>
      <c r="C71" s="30" t="s">
        <v>36</v>
      </c>
      <c r="D71" s="30">
        <f>B65</f>
        <v>2016</v>
      </c>
      <c r="E71" s="30">
        <f>D71+1</f>
        <v>2017</v>
      </c>
      <c r="F71" s="30">
        <f t="shared" ref="F71:K71" si="9">E71+1</f>
        <v>2018</v>
      </c>
      <c r="G71" s="30">
        <f t="shared" si="9"/>
        <v>2019</v>
      </c>
      <c r="H71" s="30">
        <f t="shared" si="9"/>
        <v>2020</v>
      </c>
      <c r="I71" s="30">
        <f t="shared" si="9"/>
        <v>2021</v>
      </c>
      <c r="J71" s="30">
        <f t="shared" si="9"/>
        <v>2022</v>
      </c>
      <c r="K71" s="30">
        <f t="shared" si="9"/>
        <v>2023</v>
      </c>
    </row>
    <row r="72" spans="1:24" s="30" customFormat="1" ht="12.75" customHeight="1" x14ac:dyDescent="0.25">
      <c r="A72" s="53" t="s">
        <v>37</v>
      </c>
      <c r="B72" s="53"/>
      <c r="C72" s="30" t="s">
        <v>28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f t="shared" ref="J72:K73" si="10">I72</f>
        <v>0</v>
      </c>
      <c r="K72" s="31">
        <f t="shared" si="10"/>
        <v>0</v>
      </c>
    </row>
    <row r="73" spans="1:24" s="30" customFormat="1" x14ac:dyDescent="0.25">
      <c r="A73" s="53"/>
      <c r="B73" s="53"/>
      <c r="C73" s="30" t="s">
        <v>38</v>
      </c>
      <c r="D73" s="31">
        <v>1</v>
      </c>
      <c r="E73" s="31">
        <v>1</v>
      </c>
      <c r="F73" s="31">
        <f>1-F72</f>
        <v>1</v>
      </c>
      <c r="G73" s="31">
        <f>1-G72</f>
        <v>1</v>
      </c>
      <c r="H73" s="31">
        <v>0</v>
      </c>
      <c r="I73" s="31">
        <v>0</v>
      </c>
      <c r="J73" s="31">
        <f t="shared" si="10"/>
        <v>0</v>
      </c>
      <c r="K73" s="31">
        <f t="shared" si="10"/>
        <v>0</v>
      </c>
    </row>
    <row r="74" spans="1:24" s="30" customFormat="1" ht="13.5" customHeight="1" x14ac:dyDescent="0.25">
      <c r="A74" s="28"/>
      <c r="B74" s="48"/>
      <c r="C74" s="30" t="s">
        <v>29</v>
      </c>
      <c r="D74" s="31">
        <v>0</v>
      </c>
      <c r="E74" s="31">
        <v>0</v>
      </c>
      <c r="F74" s="31">
        <v>0</v>
      </c>
      <c r="G74" s="31">
        <v>0</v>
      </c>
      <c r="H74" s="31">
        <v>1</v>
      </c>
      <c r="I74" s="31">
        <v>1</v>
      </c>
      <c r="J74" s="31">
        <f>I74</f>
        <v>1</v>
      </c>
      <c r="K74" s="31">
        <f>J74</f>
        <v>1</v>
      </c>
    </row>
    <row r="75" spans="1:24" s="30" customFormat="1" ht="13.5" customHeight="1" x14ac:dyDescent="0.25">
      <c r="A75" s="28"/>
      <c r="B75" s="48"/>
      <c r="D75" s="33"/>
      <c r="E75" s="33"/>
      <c r="F75" s="33"/>
      <c r="G75" s="33"/>
      <c r="H75" s="33"/>
      <c r="I75" s="33"/>
      <c r="J75" s="33"/>
      <c r="K75" s="33"/>
    </row>
    <row r="76" spans="1:24" ht="15.75" thickBot="1" x14ac:dyDescent="0.3">
      <c r="A76" s="16"/>
      <c r="B76" s="17"/>
      <c r="C76" s="34" t="s">
        <v>39</v>
      </c>
      <c r="D76" s="17"/>
      <c r="E76" s="17"/>
      <c r="F76" s="17"/>
      <c r="G76" s="17"/>
      <c r="H76" s="17"/>
      <c r="I76" s="17"/>
      <c r="J76" s="17"/>
      <c r="K76" s="17"/>
      <c r="L76" s="30"/>
      <c r="M76" s="30"/>
    </row>
    <row r="77" spans="1:24" ht="15.75" thickBot="1" x14ac:dyDescent="0.3">
      <c r="A77" s="16"/>
      <c r="B77" s="35" t="s">
        <v>40</v>
      </c>
      <c r="C77" s="36">
        <f>NPV(RDR,D77:M77)*(1+RDR)</f>
        <v>5.0921997642845085</v>
      </c>
      <c r="D77" s="37">
        <f>(D73*$I$68)+(D74*$J$68)-I68</f>
        <v>0</v>
      </c>
      <c r="E77" s="37">
        <f>(E73*$I$68)+(E74*$J$68)</f>
        <v>1.0762285714285713</v>
      </c>
      <c r="F77" s="37">
        <f t="shared" ref="F77:K77" si="11">(F73*$I$68)+(F74*$J$68)</f>
        <v>1.0762285714285713</v>
      </c>
      <c r="G77" s="37">
        <f t="shared" si="11"/>
        <v>1.0762285714285713</v>
      </c>
      <c r="H77" s="37">
        <f t="shared" si="11"/>
        <v>0.81467999999999996</v>
      </c>
      <c r="I77" s="37">
        <f t="shared" si="11"/>
        <v>0.81467999999999996</v>
      </c>
      <c r="J77" s="37">
        <f t="shared" si="11"/>
        <v>0.81467999999999996</v>
      </c>
      <c r="K77" s="37">
        <f t="shared" si="11"/>
        <v>0.81467999999999996</v>
      </c>
      <c r="L77" s="30"/>
      <c r="M77" s="30"/>
    </row>
    <row r="78" spans="1:24" x14ac:dyDescent="0.25">
      <c r="A78" s="16"/>
      <c r="B78" s="35" t="s">
        <v>41</v>
      </c>
      <c r="C78" s="38">
        <f>-PMT(RDR,B66,C77,,)</f>
        <v>0.84974251244586618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24" ht="15.75" thickBot="1" x14ac:dyDescent="0.3">
      <c r="A79" s="16"/>
      <c r="B79" s="19" t="s">
        <v>42</v>
      </c>
      <c r="C79" s="39">
        <v>1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 spans="1:24" x14ac:dyDescent="0.25">
      <c r="A80" s="16"/>
      <c r="B80" s="19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1" s="42" customFormat="1" x14ac:dyDescent="0.25">
      <c r="A81" s="40"/>
      <c r="B81" s="41"/>
      <c r="C81" s="41"/>
      <c r="I81" s="55" t="s">
        <v>26</v>
      </c>
      <c r="J81" s="56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</row>
    <row r="82" spans="1:21" ht="26.25" x14ac:dyDescent="0.25">
      <c r="A82" s="19" t="s">
        <v>27</v>
      </c>
      <c r="B82" s="20">
        <v>2017</v>
      </c>
      <c r="C82" s="17"/>
      <c r="H82" s="17"/>
      <c r="I82" s="21" t="s">
        <v>55</v>
      </c>
      <c r="J82" s="21" t="s">
        <v>29</v>
      </c>
      <c r="K82" s="17"/>
      <c r="L82" s="17"/>
      <c r="M82" s="22" t="s">
        <v>30</v>
      </c>
      <c r="N82" s="23">
        <v>1314</v>
      </c>
      <c r="O82" s="17"/>
      <c r="P82" s="17"/>
      <c r="Q82" s="17"/>
      <c r="R82" s="17"/>
      <c r="S82" s="17"/>
      <c r="T82" s="17"/>
      <c r="U82" s="17"/>
    </row>
    <row r="83" spans="1:21" ht="15.75" thickBot="1" x14ac:dyDescent="0.3">
      <c r="A83" s="19" t="s">
        <v>31</v>
      </c>
      <c r="B83" s="24">
        <v>8</v>
      </c>
      <c r="C83" s="17"/>
      <c r="E83" s="54" t="s">
        <v>32</v>
      </c>
      <c r="F83" s="54"/>
      <c r="G83" s="54"/>
      <c r="H83" s="54"/>
      <c r="I83" s="20">
        <f>I66</f>
        <v>4200</v>
      </c>
      <c r="J83" s="20">
        <v>10000</v>
      </c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ht="15.75" thickBot="1" x14ac:dyDescent="0.3">
      <c r="A84" s="17" t="s">
        <v>33</v>
      </c>
      <c r="B84" s="25">
        <f>RDR</f>
        <v>6.9080333333333341E-2</v>
      </c>
      <c r="C84" s="17"/>
      <c r="E84" s="54" t="s">
        <v>34</v>
      </c>
      <c r="F84" s="54"/>
      <c r="G84" s="54"/>
      <c r="H84" s="54"/>
      <c r="I84" s="26">
        <f>I67</f>
        <v>3.44</v>
      </c>
      <c r="J84" s="26">
        <f>J67</f>
        <v>6.2</v>
      </c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x14ac:dyDescent="0.25">
      <c r="A85" s="16"/>
      <c r="B85" s="17"/>
      <c r="C85" s="17"/>
      <c r="E85" s="54" t="s">
        <v>35</v>
      </c>
      <c r="F85" s="54"/>
      <c r="G85" s="54"/>
      <c r="H85" s="54"/>
      <c r="I85" s="27">
        <f>$N$65/I83*I84</f>
        <v>1.0762285714285713</v>
      </c>
      <c r="J85" s="27">
        <f>$N$65/J83*J84</f>
        <v>0.81467999999999996</v>
      </c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x14ac:dyDescent="0.25">
      <c r="A86" s="16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30"/>
      <c r="M86" s="30"/>
      <c r="N86" s="30"/>
    </row>
    <row r="87" spans="1:21" x14ac:dyDescent="0.25">
      <c r="A87" s="28"/>
      <c r="B87" s="16"/>
      <c r="C87" s="16"/>
      <c r="D87" s="16"/>
      <c r="E87" s="16"/>
      <c r="F87" s="16"/>
      <c r="G87" s="17"/>
      <c r="H87" s="17"/>
      <c r="I87" s="17"/>
      <c r="J87" s="17"/>
      <c r="K87" s="17"/>
      <c r="L87" s="30"/>
      <c r="M87" s="30"/>
      <c r="N87" s="30"/>
    </row>
    <row r="88" spans="1:21" s="30" customFormat="1" ht="12.75" x14ac:dyDescent="0.2">
      <c r="A88" s="29"/>
      <c r="C88" s="30" t="s">
        <v>36</v>
      </c>
      <c r="D88" s="30">
        <f>B82</f>
        <v>2017</v>
      </c>
      <c r="E88" s="30">
        <f>D88+1</f>
        <v>2018</v>
      </c>
      <c r="F88" s="30">
        <f t="shared" ref="F88:K88" si="12">E88+1</f>
        <v>2019</v>
      </c>
      <c r="G88" s="30">
        <f t="shared" si="12"/>
        <v>2020</v>
      </c>
      <c r="H88" s="30">
        <f t="shared" si="12"/>
        <v>2021</v>
      </c>
      <c r="I88" s="30">
        <f t="shared" si="12"/>
        <v>2022</v>
      </c>
      <c r="J88" s="30">
        <f t="shared" si="12"/>
        <v>2023</v>
      </c>
      <c r="K88" s="30">
        <f t="shared" si="12"/>
        <v>2024</v>
      </c>
    </row>
    <row r="89" spans="1:21" s="30" customFormat="1" x14ac:dyDescent="0.25">
      <c r="A89" s="53" t="s">
        <v>37</v>
      </c>
      <c r="B89" s="53"/>
      <c r="C89" s="30" t="s">
        <v>28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f t="shared" ref="J89:K90" si="13">I89</f>
        <v>0</v>
      </c>
      <c r="K89" s="31">
        <f t="shared" si="13"/>
        <v>0</v>
      </c>
    </row>
    <row r="90" spans="1:21" s="30" customFormat="1" x14ac:dyDescent="0.25">
      <c r="A90" s="53"/>
      <c r="B90" s="53"/>
      <c r="C90" s="30" t="s">
        <v>38</v>
      </c>
      <c r="D90" s="31">
        <v>1</v>
      </c>
      <c r="E90" s="31">
        <v>1</v>
      </c>
      <c r="F90" s="31">
        <f>1-F89</f>
        <v>1</v>
      </c>
      <c r="G90" s="31">
        <v>0</v>
      </c>
      <c r="H90" s="31">
        <v>0</v>
      </c>
      <c r="I90" s="31">
        <v>0</v>
      </c>
      <c r="J90" s="31">
        <f t="shared" si="13"/>
        <v>0</v>
      </c>
      <c r="K90" s="31">
        <f t="shared" si="13"/>
        <v>0</v>
      </c>
    </row>
    <row r="91" spans="1:21" s="30" customFormat="1" x14ac:dyDescent="0.25">
      <c r="A91" s="28"/>
      <c r="B91" s="48"/>
      <c r="C91" s="30" t="s">
        <v>29</v>
      </c>
      <c r="D91" s="31">
        <v>0</v>
      </c>
      <c r="E91" s="31">
        <v>0</v>
      </c>
      <c r="F91" s="31">
        <v>0</v>
      </c>
      <c r="G91" s="31">
        <v>1</v>
      </c>
      <c r="H91" s="31">
        <v>1</v>
      </c>
      <c r="I91" s="31">
        <v>1</v>
      </c>
      <c r="J91" s="31">
        <f>I91</f>
        <v>1</v>
      </c>
      <c r="K91" s="31">
        <f>J91</f>
        <v>1</v>
      </c>
    </row>
    <row r="92" spans="1:21" s="30" customFormat="1" x14ac:dyDescent="0.25">
      <c r="A92" s="28"/>
      <c r="B92" s="48"/>
      <c r="D92" s="33"/>
      <c r="E92" s="33"/>
      <c r="F92" s="33"/>
      <c r="G92" s="33"/>
      <c r="H92" s="33"/>
      <c r="I92" s="33"/>
      <c r="J92" s="33"/>
      <c r="K92" s="33"/>
    </row>
    <row r="93" spans="1:21" ht="15.75" thickBot="1" x14ac:dyDescent="0.3">
      <c r="A93" s="16"/>
      <c r="B93" s="17"/>
      <c r="C93" s="34" t="s">
        <v>39</v>
      </c>
      <c r="D93" s="17"/>
      <c r="E93" s="17"/>
      <c r="F93" s="17"/>
      <c r="G93" s="17"/>
      <c r="H93" s="17"/>
      <c r="I93" s="17"/>
      <c r="J93" s="17"/>
      <c r="K93" s="17"/>
      <c r="L93" s="30"/>
      <c r="M93" s="30"/>
      <c r="N93" s="30"/>
    </row>
    <row r="94" spans="1:21" ht="15.75" thickBot="1" x14ac:dyDescent="0.3">
      <c r="A94" s="16"/>
      <c r="B94" s="35" t="s">
        <v>40</v>
      </c>
      <c r="C94" s="36">
        <f>NPV(RDR,D94:M94)*(1+RDR)</f>
        <v>4.8781467583018765</v>
      </c>
      <c r="D94" s="37">
        <f>(D90*$I$68)+(D91*$J$68)-I85</f>
        <v>0</v>
      </c>
      <c r="E94" s="37">
        <f>(E90*$I$68)+(E91*$J$68)</f>
        <v>1.0762285714285713</v>
      </c>
      <c r="F94" s="37">
        <f t="shared" ref="F94:K94" si="14">(F90*$I$68)+(F91*$J$68)</f>
        <v>1.0762285714285713</v>
      </c>
      <c r="G94" s="37">
        <f t="shared" si="14"/>
        <v>0.81467999999999996</v>
      </c>
      <c r="H94" s="37">
        <f t="shared" si="14"/>
        <v>0.81467999999999996</v>
      </c>
      <c r="I94" s="37">
        <f t="shared" si="14"/>
        <v>0.81467999999999996</v>
      </c>
      <c r="J94" s="37">
        <f t="shared" si="14"/>
        <v>0.81467999999999996</v>
      </c>
      <c r="K94" s="37">
        <f t="shared" si="14"/>
        <v>0.81467999999999996</v>
      </c>
      <c r="L94" s="30"/>
      <c r="M94" s="30"/>
      <c r="N94" s="30"/>
    </row>
    <row r="95" spans="1:21" x14ac:dyDescent="0.25">
      <c r="A95" s="16"/>
      <c r="B95" s="35" t="s">
        <v>41</v>
      </c>
      <c r="C95" s="38">
        <f>-PMT(RDR,B83,C94,,)</f>
        <v>0.81402318729762579</v>
      </c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21" ht="15.75" thickBot="1" x14ac:dyDescent="0.3">
      <c r="A96" s="16"/>
      <c r="B96" s="19" t="s">
        <v>42</v>
      </c>
      <c r="C96" s="39">
        <v>1</v>
      </c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8" spans="1:21" s="42" customFormat="1" x14ac:dyDescent="0.25">
      <c r="A98" s="40"/>
      <c r="B98" s="41"/>
      <c r="C98" s="41"/>
      <c r="I98" s="55" t="s">
        <v>26</v>
      </c>
      <c r="J98" s="56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</row>
    <row r="99" spans="1:21" ht="26.25" x14ac:dyDescent="0.25">
      <c r="A99" s="19" t="s">
        <v>27</v>
      </c>
      <c r="B99" s="20">
        <v>2018</v>
      </c>
      <c r="C99" s="17"/>
      <c r="H99" s="17"/>
      <c r="I99" s="21" t="s">
        <v>55</v>
      </c>
      <c r="J99" s="21" t="s">
        <v>29</v>
      </c>
      <c r="K99" s="17"/>
      <c r="L99" s="17"/>
      <c r="M99" s="22" t="s">
        <v>30</v>
      </c>
      <c r="N99" s="23">
        <f>N65</f>
        <v>1314</v>
      </c>
      <c r="O99" s="17"/>
      <c r="P99" s="17"/>
      <c r="Q99" s="17"/>
      <c r="R99" s="17"/>
      <c r="S99" s="17"/>
      <c r="T99" s="17"/>
      <c r="U99" s="17"/>
    </row>
    <row r="100" spans="1:21" ht="15.75" thickBot="1" x14ac:dyDescent="0.3">
      <c r="A100" s="19" t="s">
        <v>31</v>
      </c>
      <c r="B100" s="24">
        <v>8</v>
      </c>
      <c r="C100" s="17"/>
      <c r="E100" s="54" t="s">
        <v>32</v>
      </c>
      <c r="F100" s="54"/>
      <c r="G100" s="54"/>
      <c r="H100" s="54"/>
      <c r="I100" s="20">
        <f>I83</f>
        <v>4200</v>
      </c>
      <c r="J100" s="20">
        <v>10000</v>
      </c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ht="15.75" thickBot="1" x14ac:dyDescent="0.3">
      <c r="A101" s="17" t="s">
        <v>33</v>
      </c>
      <c r="B101" s="25">
        <f>RDR</f>
        <v>6.9080333333333341E-2</v>
      </c>
      <c r="C101" s="17"/>
      <c r="E101" s="54" t="s">
        <v>34</v>
      </c>
      <c r="F101" s="54"/>
      <c r="G101" s="54"/>
      <c r="H101" s="54"/>
      <c r="I101" s="26">
        <f>I84</f>
        <v>3.44</v>
      </c>
      <c r="J101" s="26">
        <f>J84</f>
        <v>6.2</v>
      </c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x14ac:dyDescent="0.25">
      <c r="A102" s="16"/>
      <c r="B102" s="17"/>
      <c r="C102" s="17"/>
      <c r="E102" s="54" t="s">
        <v>35</v>
      </c>
      <c r="F102" s="54"/>
      <c r="G102" s="54"/>
      <c r="H102" s="54"/>
      <c r="I102" s="27">
        <f>$N$65/I100*I101</f>
        <v>1.0762285714285713</v>
      </c>
      <c r="J102" s="27">
        <f>$N$65/J100*J101</f>
        <v>0.81467999999999996</v>
      </c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x14ac:dyDescent="0.25">
      <c r="A103" s="16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30"/>
      <c r="M103" s="30"/>
    </row>
    <row r="104" spans="1:21" x14ac:dyDescent="0.25">
      <c r="A104" s="28"/>
      <c r="B104" s="16"/>
      <c r="C104" s="16"/>
      <c r="D104" s="16"/>
      <c r="E104" s="16"/>
      <c r="F104" s="16"/>
      <c r="G104" s="17"/>
      <c r="H104" s="17"/>
      <c r="I104" s="17"/>
      <c r="J104" s="17"/>
      <c r="K104" s="17"/>
      <c r="L104" s="30"/>
      <c r="M104" s="30"/>
    </row>
    <row r="105" spans="1:21" s="30" customFormat="1" ht="12.75" x14ac:dyDescent="0.2">
      <c r="A105" s="29"/>
      <c r="C105" s="30" t="s">
        <v>36</v>
      </c>
      <c r="D105" s="30">
        <f>B99</f>
        <v>2018</v>
      </c>
      <c r="E105" s="30">
        <f>D105+1</f>
        <v>2019</v>
      </c>
      <c r="F105" s="30">
        <f t="shared" ref="F105:K105" si="15">E105+1</f>
        <v>2020</v>
      </c>
      <c r="G105" s="30">
        <f t="shared" si="15"/>
        <v>2021</v>
      </c>
      <c r="H105" s="30">
        <f t="shared" si="15"/>
        <v>2022</v>
      </c>
      <c r="I105" s="30">
        <f t="shared" si="15"/>
        <v>2023</v>
      </c>
      <c r="J105" s="30">
        <f t="shared" si="15"/>
        <v>2024</v>
      </c>
      <c r="K105" s="30">
        <f t="shared" si="15"/>
        <v>2025</v>
      </c>
    </row>
    <row r="106" spans="1:21" s="30" customFormat="1" x14ac:dyDescent="0.25">
      <c r="A106" s="53" t="s">
        <v>37</v>
      </c>
      <c r="B106" s="53"/>
      <c r="C106" s="30" t="s">
        <v>28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f t="shared" ref="J106:K107" si="16">I106</f>
        <v>0</v>
      </c>
      <c r="K106" s="31">
        <f t="shared" si="16"/>
        <v>0</v>
      </c>
    </row>
    <row r="107" spans="1:21" s="30" customFormat="1" x14ac:dyDescent="0.25">
      <c r="A107" s="53"/>
      <c r="B107" s="53"/>
      <c r="C107" s="30" t="s">
        <v>38</v>
      </c>
      <c r="D107" s="31">
        <v>1</v>
      </c>
      <c r="E107" s="31">
        <v>1</v>
      </c>
      <c r="F107" s="31">
        <v>0</v>
      </c>
      <c r="G107" s="31">
        <v>0</v>
      </c>
      <c r="H107" s="31">
        <v>0</v>
      </c>
      <c r="I107" s="31">
        <v>0</v>
      </c>
      <c r="J107" s="31">
        <f t="shared" si="16"/>
        <v>0</v>
      </c>
      <c r="K107" s="31">
        <f t="shared" si="16"/>
        <v>0</v>
      </c>
    </row>
    <row r="108" spans="1:21" s="30" customFormat="1" x14ac:dyDescent="0.25">
      <c r="A108" s="28"/>
      <c r="B108" s="48"/>
      <c r="C108" s="30" t="s">
        <v>29</v>
      </c>
      <c r="D108" s="31">
        <v>0</v>
      </c>
      <c r="E108" s="31">
        <v>0</v>
      </c>
      <c r="F108" s="31">
        <v>1</v>
      </c>
      <c r="G108" s="31">
        <v>1</v>
      </c>
      <c r="H108" s="31">
        <v>1</v>
      </c>
      <c r="I108" s="31">
        <v>1</v>
      </c>
      <c r="J108" s="31">
        <f>I108</f>
        <v>1</v>
      </c>
      <c r="K108" s="31">
        <f>J108</f>
        <v>1</v>
      </c>
    </row>
    <row r="109" spans="1:21" s="30" customFormat="1" x14ac:dyDescent="0.25">
      <c r="A109" s="28"/>
      <c r="B109" s="48"/>
      <c r="D109" s="33"/>
      <c r="E109" s="33"/>
      <c r="F109" s="33"/>
      <c r="G109" s="33"/>
      <c r="H109" s="33"/>
      <c r="I109" s="33"/>
      <c r="J109" s="33"/>
      <c r="K109" s="33"/>
    </row>
    <row r="110" spans="1:21" ht="15.75" thickBot="1" x14ac:dyDescent="0.3">
      <c r="A110" s="16"/>
      <c r="B110" s="17"/>
      <c r="C110" s="34" t="s">
        <v>39</v>
      </c>
      <c r="D110" s="17"/>
      <c r="E110" s="17"/>
      <c r="F110" s="17"/>
      <c r="G110" s="17"/>
      <c r="H110" s="17"/>
      <c r="I110" s="17"/>
      <c r="J110" s="17"/>
      <c r="K110" s="17"/>
      <c r="L110" s="30"/>
      <c r="M110" s="30"/>
    </row>
    <row r="111" spans="1:21" ht="15.75" thickBot="1" x14ac:dyDescent="0.3">
      <c r="A111" s="16"/>
      <c r="B111" s="35" t="s">
        <v>40</v>
      </c>
      <c r="C111" s="36">
        <f>NPV(RDR,D111:M111)*(1+RDR)</f>
        <v>4.6493068993149622</v>
      </c>
      <c r="D111" s="37">
        <f>(D107*$I$68)+(D108*$J$68)-I102</f>
        <v>0</v>
      </c>
      <c r="E111" s="37">
        <f>(E107*$I$68)+(E108*$J$68)</f>
        <v>1.0762285714285713</v>
      </c>
      <c r="F111" s="37">
        <f t="shared" ref="F111:K111" si="17">(F107*$I$68)+(F108*$J$68)</f>
        <v>0.81467999999999996</v>
      </c>
      <c r="G111" s="37">
        <f t="shared" si="17"/>
        <v>0.81467999999999996</v>
      </c>
      <c r="H111" s="37">
        <f t="shared" si="17"/>
        <v>0.81467999999999996</v>
      </c>
      <c r="I111" s="37">
        <f t="shared" si="17"/>
        <v>0.81467999999999996</v>
      </c>
      <c r="J111" s="37">
        <f t="shared" si="17"/>
        <v>0.81467999999999996</v>
      </c>
      <c r="K111" s="37">
        <f t="shared" si="17"/>
        <v>0.81467999999999996</v>
      </c>
      <c r="L111" s="30"/>
      <c r="M111" s="30"/>
    </row>
    <row r="112" spans="1:21" x14ac:dyDescent="0.25">
      <c r="A112" s="16"/>
      <c r="B112" s="35" t="s">
        <v>41</v>
      </c>
      <c r="C112" s="38">
        <f>-PMT(RDR,B100,C111,,)</f>
        <v>0.77583635926170325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7"/>
    </row>
    <row r="113" spans="1:21" ht="15.75" thickBot="1" x14ac:dyDescent="0.3">
      <c r="A113" s="16"/>
      <c r="B113" s="19" t="s">
        <v>42</v>
      </c>
      <c r="C113" s="39">
        <v>1</v>
      </c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7" spans="1:21" s="44" customFormat="1" x14ac:dyDescent="0.25"/>
    <row r="118" spans="1:21" x14ac:dyDescent="0.25">
      <c r="A118" s="16" t="s">
        <v>45</v>
      </c>
      <c r="B118" s="17"/>
      <c r="C118" s="17"/>
      <c r="I118" s="57" t="s">
        <v>26</v>
      </c>
      <c r="J118" s="58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ht="26.25" x14ac:dyDescent="0.25">
      <c r="A119" s="19" t="s">
        <v>27</v>
      </c>
      <c r="B119" s="20">
        <v>2016</v>
      </c>
      <c r="C119" s="17"/>
      <c r="H119" s="17"/>
      <c r="I119" s="21" t="s">
        <v>55</v>
      </c>
      <c r="J119" s="21" t="s">
        <v>29</v>
      </c>
      <c r="K119" s="17"/>
      <c r="L119" s="17"/>
      <c r="M119" s="22" t="s">
        <v>30</v>
      </c>
      <c r="N119" s="23">
        <v>769</v>
      </c>
      <c r="O119" s="17"/>
      <c r="P119" s="17"/>
      <c r="Q119" s="17"/>
      <c r="R119" s="17"/>
      <c r="S119" s="17"/>
      <c r="T119" s="17"/>
      <c r="U119" s="17"/>
    </row>
    <row r="120" spans="1:21" ht="15.75" thickBot="1" x14ac:dyDescent="0.3">
      <c r="A120" s="19" t="s">
        <v>31</v>
      </c>
      <c r="B120" s="24">
        <v>10</v>
      </c>
      <c r="C120" s="17"/>
      <c r="E120" s="54" t="s">
        <v>32</v>
      </c>
      <c r="F120" s="54"/>
      <c r="G120" s="54"/>
      <c r="H120" s="54"/>
      <c r="I120" s="20">
        <f>I100</f>
        <v>4200</v>
      </c>
      <c r="J120" s="20">
        <v>10000</v>
      </c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ht="15.75" thickBot="1" x14ac:dyDescent="0.3">
      <c r="A121" s="17" t="s">
        <v>33</v>
      </c>
      <c r="B121" s="25">
        <f>RDR</f>
        <v>6.9080333333333341E-2</v>
      </c>
      <c r="C121" s="17"/>
      <c r="E121" s="54" t="s">
        <v>34</v>
      </c>
      <c r="F121" s="54"/>
      <c r="G121" s="54"/>
      <c r="H121" s="54"/>
      <c r="I121" s="26">
        <f>I101</f>
        <v>3.44</v>
      </c>
      <c r="J121" s="26">
        <v>6.2</v>
      </c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x14ac:dyDescent="0.25">
      <c r="A122" s="16"/>
      <c r="B122" s="17"/>
      <c r="C122" s="17"/>
      <c r="E122" s="54" t="s">
        <v>35</v>
      </c>
      <c r="F122" s="54"/>
      <c r="G122" s="54"/>
      <c r="H122" s="54"/>
      <c r="I122" s="27">
        <f>$N$119/I120*I121</f>
        <v>0.62984761904761899</v>
      </c>
      <c r="J122" s="27">
        <f>$N$119/J120*J121</f>
        <v>0.47677999999999998</v>
      </c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x14ac:dyDescent="0.25">
      <c r="A123" s="16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 spans="1:21" x14ac:dyDescent="0.25">
      <c r="A124" s="28"/>
      <c r="B124" s="16"/>
      <c r="C124" s="16"/>
      <c r="D124" s="16"/>
      <c r="E124" s="16"/>
      <c r="F124" s="16"/>
      <c r="G124" s="17"/>
      <c r="H124" s="17"/>
      <c r="I124" s="17"/>
      <c r="J124" s="17"/>
      <c r="K124" s="17"/>
      <c r="L124" s="17"/>
      <c r="M124" s="17"/>
    </row>
    <row r="125" spans="1:21" s="30" customFormat="1" ht="12.75" x14ac:dyDescent="0.2">
      <c r="A125" s="29"/>
      <c r="C125" s="30" t="s">
        <v>36</v>
      </c>
      <c r="D125" s="30">
        <f>B119</f>
        <v>2016</v>
      </c>
      <c r="E125" s="30">
        <f>D125+1</f>
        <v>2017</v>
      </c>
      <c r="F125" s="30">
        <f t="shared" ref="F125:M125" si="18">E125+1</f>
        <v>2018</v>
      </c>
      <c r="G125" s="30">
        <f t="shared" si="18"/>
        <v>2019</v>
      </c>
      <c r="H125" s="30">
        <f t="shared" si="18"/>
        <v>2020</v>
      </c>
      <c r="I125" s="30">
        <f t="shared" si="18"/>
        <v>2021</v>
      </c>
      <c r="J125" s="30">
        <f t="shared" si="18"/>
        <v>2022</v>
      </c>
      <c r="K125" s="30">
        <f t="shared" si="18"/>
        <v>2023</v>
      </c>
      <c r="L125" s="30">
        <f t="shared" si="18"/>
        <v>2024</v>
      </c>
      <c r="M125" s="30">
        <f t="shared" si="18"/>
        <v>2025</v>
      </c>
    </row>
    <row r="126" spans="1:21" s="30" customFormat="1" x14ac:dyDescent="0.25">
      <c r="A126" s="53" t="s">
        <v>37</v>
      </c>
      <c r="B126" s="53"/>
      <c r="C126" s="30" t="s">
        <v>28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f t="shared" ref="J126:L127" si="19">I126</f>
        <v>0</v>
      </c>
      <c r="K126" s="31">
        <f t="shared" si="19"/>
        <v>0</v>
      </c>
      <c r="L126" s="31">
        <f t="shared" si="19"/>
        <v>0</v>
      </c>
      <c r="M126" s="31">
        <f>L126</f>
        <v>0</v>
      </c>
    </row>
    <row r="127" spans="1:21" s="30" customFormat="1" x14ac:dyDescent="0.25">
      <c r="A127" s="53"/>
      <c r="B127" s="53"/>
      <c r="C127" s="30" t="s">
        <v>38</v>
      </c>
      <c r="D127" s="31">
        <v>1</v>
      </c>
      <c r="E127" s="31">
        <v>1</v>
      </c>
      <c r="F127" s="31">
        <f>1-F126</f>
        <v>1</v>
      </c>
      <c r="G127" s="31">
        <f>1-G126</f>
        <v>1</v>
      </c>
      <c r="H127" s="31">
        <v>0</v>
      </c>
      <c r="I127" s="31">
        <v>0</v>
      </c>
      <c r="J127" s="31">
        <f t="shared" si="19"/>
        <v>0</v>
      </c>
      <c r="K127" s="31">
        <f t="shared" si="19"/>
        <v>0</v>
      </c>
      <c r="L127" s="31">
        <v>0</v>
      </c>
      <c r="M127" s="31">
        <v>0</v>
      </c>
    </row>
    <row r="128" spans="1:21" s="30" customFormat="1" x14ac:dyDescent="0.25">
      <c r="A128" s="28"/>
      <c r="B128" s="48"/>
      <c r="C128" s="30" t="s">
        <v>29</v>
      </c>
      <c r="D128" s="31">
        <v>0</v>
      </c>
      <c r="E128" s="31">
        <v>0</v>
      </c>
      <c r="F128" s="31">
        <v>0</v>
      </c>
      <c r="G128" s="31">
        <v>0</v>
      </c>
      <c r="H128" s="31">
        <v>1</v>
      </c>
      <c r="I128" s="31">
        <v>1</v>
      </c>
      <c r="J128" s="31">
        <f>I128</f>
        <v>1</v>
      </c>
      <c r="K128" s="31">
        <f>J128</f>
        <v>1</v>
      </c>
      <c r="L128" s="31">
        <v>1</v>
      </c>
      <c r="M128" s="31">
        <v>1</v>
      </c>
    </row>
    <row r="129" spans="1:24" s="30" customFormat="1" ht="13.5" customHeight="1" x14ac:dyDescent="0.25">
      <c r="A129" s="28"/>
      <c r="B129" s="48"/>
      <c r="D129" s="33"/>
      <c r="E129" s="33"/>
      <c r="F129" s="33"/>
      <c r="G129" s="33"/>
      <c r="H129" s="33"/>
      <c r="I129" s="33"/>
      <c r="J129" s="33"/>
      <c r="K129" s="33"/>
    </row>
    <row r="130" spans="1:24" ht="15.75" thickBot="1" x14ac:dyDescent="0.3">
      <c r="A130" s="16"/>
      <c r="B130" s="17"/>
      <c r="C130" s="34" t="s">
        <v>39</v>
      </c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1:24" ht="15.75" thickBot="1" x14ac:dyDescent="0.3">
      <c r="A131" s="16"/>
      <c r="B131" s="35" t="s">
        <v>40</v>
      </c>
      <c r="C131" s="36">
        <f>NPV(RDR,D131:M131)*(1+RDR)</f>
        <v>3.5208954280145659</v>
      </c>
      <c r="D131" s="37">
        <f>(D127*$I$122)+(D128*$J$122)-I122</f>
        <v>0</v>
      </c>
      <c r="E131" s="37">
        <f>(E127*$I$122)+(E128*$J$122)</f>
        <v>0.62984761904761899</v>
      </c>
      <c r="F131" s="37">
        <f t="shared" ref="F131:M131" si="20">(F127*$I$122)+(F128*$J$122)</f>
        <v>0.62984761904761899</v>
      </c>
      <c r="G131" s="37">
        <f t="shared" si="20"/>
        <v>0.62984761904761899</v>
      </c>
      <c r="H131" s="37">
        <f t="shared" si="20"/>
        <v>0.47677999999999998</v>
      </c>
      <c r="I131" s="37">
        <f t="shared" si="20"/>
        <v>0.47677999999999998</v>
      </c>
      <c r="J131" s="37">
        <f t="shared" si="20"/>
        <v>0.47677999999999998</v>
      </c>
      <c r="K131" s="37">
        <f t="shared" si="20"/>
        <v>0.47677999999999998</v>
      </c>
      <c r="L131" s="37">
        <f t="shared" si="20"/>
        <v>0.47677999999999998</v>
      </c>
      <c r="M131" s="37">
        <f t="shared" si="20"/>
        <v>0.47677999999999998</v>
      </c>
    </row>
    <row r="132" spans="1:24" x14ac:dyDescent="0.25">
      <c r="A132" s="16"/>
      <c r="B132" s="35" t="s">
        <v>41</v>
      </c>
      <c r="C132" s="38">
        <f>-PMT(RDR,B120,C131,,)</f>
        <v>0.49916733251411255</v>
      </c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 spans="1:24" ht="15.75" thickBot="1" x14ac:dyDescent="0.3">
      <c r="A133" s="16"/>
      <c r="B133" s="19" t="s">
        <v>42</v>
      </c>
      <c r="C133" s="39">
        <v>1</v>
      </c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 spans="1:24" x14ac:dyDescent="0.25">
      <c r="A134" s="16"/>
      <c r="B134" s="19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s="42" customFormat="1" ht="12.75" customHeight="1" x14ac:dyDescent="0.25">
      <c r="A135" s="40"/>
      <c r="B135" s="41"/>
      <c r="C135" s="41"/>
      <c r="I135" s="55" t="s">
        <v>26</v>
      </c>
      <c r="J135" s="56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</row>
    <row r="136" spans="1:24" ht="25.5" customHeight="1" x14ac:dyDescent="0.25">
      <c r="A136" s="19" t="s">
        <v>27</v>
      </c>
      <c r="B136" s="20">
        <v>2017</v>
      </c>
      <c r="C136" s="17"/>
      <c r="H136" s="17"/>
      <c r="I136" s="21" t="s">
        <v>55</v>
      </c>
      <c r="J136" s="21" t="s">
        <v>29</v>
      </c>
      <c r="K136" s="17"/>
      <c r="L136" s="17"/>
      <c r="M136" s="22" t="s">
        <v>30</v>
      </c>
      <c r="N136" s="23">
        <v>769</v>
      </c>
      <c r="O136" s="17"/>
      <c r="P136" s="17"/>
      <c r="Q136" s="17"/>
      <c r="R136" s="17"/>
      <c r="S136" s="17"/>
      <c r="T136" s="17"/>
      <c r="U136" s="17"/>
    </row>
    <row r="137" spans="1:24" ht="12.75" customHeight="1" thickBot="1" x14ac:dyDescent="0.3">
      <c r="A137" s="19" t="s">
        <v>31</v>
      </c>
      <c r="B137" s="24">
        <v>10</v>
      </c>
      <c r="C137" s="17"/>
      <c r="E137" s="54" t="s">
        <v>32</v>
      </c>
      <c r="F137" s="54"/>
      <c r="G137" s="54"/>
      <c r="H137" s="54"/>
      <c r="I137" s="20">
        <f>I120</f>
        <v>4200</v>
      </c>
      <c r="J137" s="20">
        <v>10000</v>
      </c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4" ht="12.75" customHeight="1" thickBot="1" x14ac:dyDescent="0.3">
      <c r="A138" s="17" t="s">
        <v>33</v>
      </c>
      <c r="B138" s="25">
        <f>RDR</f>
        <v>6.9080333333333341E-2</v>
      </c>
      <c r="C138" s="17"/>
      <c r="E138" s="54" t="s">
        <v>34</v>
      </c>
      <c r="F138" s="54"/>
      <c r="G138" s="54"/>
      <c r="H138" s="54"/>
      <c r="I138" s="26">
        <f>I121</f>
        <v>3.44</v>
      </c>
      <c r="J138" s="26">
        <f>J121</f>
        <v>6.2</v>
      </c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4" ht="12.75" customHeight="1" x14ac:dyDescent="0.25">
      <c r="A139" s="16"/>
      <c r="B139" s="17"/>
      <c r="C139" s="17"/>
      <c r="E139" s="54" t="s">
        <v>35</v>
      </c>
      <c r="F139" s="54"/>
      <c r="G139" s="54"/>
      <c r="H139" s="54"/>
      <c r="I139" s="27">
        <f>$N$119/I137*I138</f>
        <v>0.62984761904761899</v>
      </c>
      <c r="J139" s="27">
        <f>$N$119/J137*J138</f>
        <v>0.47677999999999998</v>
      </c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4" ht="12.75" customHeight="1" x14ac:dyDescent="0.25">
      <c r="A140" s="16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</row>
    <row r="141" spans="1:24" ht="12" customHeight="1" x14ac:dyDescent="0.25">
      <c r="A141" s="28"/>
      <c r="B141" s="16"/>
      <c r="C141" s="16"/>
      <c r="D141" s="16"/>
      <c r="E141" s="16"/>
      <c r="F141" s="16"/>
      <c r="G141" s="17"/>
      <c r="H141" s="17"/>
      <c r="I141" s="17"/>
      <c r="J141" s="17"/>
      <c r="K141" s="17"/>
      <c r="L141" s="17"/>
      <c r="M141" s="17"/>
    </row>
    <row r="142" spans="1:24" s="30" customFormat="1" ht="12.75" x14ac:dyDescent="0.2">
      <c r="A142" s="29"/>
      <c r="C142" s="30" t="s">
        <v>36</v>
      </c>
      <c r="D142" s="30">
        <f>B136</f>
        <v>2017</v>
      </c>
      <c r="E142" s="30">
        <f>D142+1</f>
        <v>2018</v>
      </c>
      <c r="F142" s="30">
        <f t="shared" ref="F142:M142" si="21">E142+1</f>
        <v>2019</v>
      </c>
      <c r="G142" s="30">
        <f t="shared" si="21"/>
        <v>2020</v>
      </c>
      <c r="H142" s="30">
        <f t="shared" si="21"/>
        <v>2021</v>
      </c>
      <c r="I142" s="30">
        <f t="shared" si="21"/>
        <v>2022</v>
      </c>
      <c r="J142" s="30">
        <f t="shared" si="21"/>
        <v>2023</v>
      </c>
      <c r="K142" s="30">
        <f t="shared" si="21"/>
        <v>2024</v>
      </c>
      <c r="L142" s="30">
        <f t="shared" si="21"/>
        <v>2025</v>
      </c>
      <c r="M142" s="30">
        <f t="shared" si="21"/>
        <v>2026</v>
      </c>
    </row>
    <row r="143" spans="1:24" s="30" customFormat="1" ht="12.75" customHeight="1" x14ac:dyDescent="0.25">
      <c r="A143" s="53" t="s">
        <v>37</v>
      </c>
      <c r="B143" s="53"/>
      <c r="C143" s="30" t="s">
        <v>28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f t="shared" ref="J143:L144" si="22">I143</f>
        <v>0</v>
      </c>
      <c r="K143" s="31">
        <f t="shared" si="22"/>
        <v>0</v>
      </c>
      <c r="L143" s="31">
        <f t="shared" si="22"/>
        <v>0</v>
      </c>
      <c r="M143" s="31">
        <f>L143</f>
        <v>0</v>
      </c>
    </row>
    <row r="144" spans="1:24" s="30" customFormat="1" x14ac:dyDescent="0.25">
      <c r="A144" s="53"/>
      <c r="B144" s="53"/>
      <c r="C144" s="30" t="s">
        <v>38</v>
      </c>
      <c r="D144" s="31">
        <v>1</v>
      </c>
      <c r="E144" s="31">
        <v>1</v>
      </c>
      <c r="F144" s="31">
        <f>1-F143</f>
        <v>1</v>
      </c>
      <c r="G144" s="31">
        <v>0</v>
      </c>
      <c r="H144" s="31">
        <v>0</v>
      </c>
      <c r="I144" s="31">
        <v>0</v>
      </c>
      <c r="J144" s="31">
        <f t="shared" si="22"/>
        <v>0</v>
      </c>
      <c r="K144" s="31">
        <f t="shared" si="22"/>
        <v>0</v>
      </c>
      <c r="L144" s="31">
        <v>0</v>
      </c>
      <c r="M144" s="31">
        <v>0</v>
      </c>
    </row>
    <row r="145" spans="1:21" s="30" customFormat="1" x14ac:dyDescent="0.25">
      <c r="A145" s="28"/>
      <c r="B145" s="48"/>
      <c r="C145" s="30" t="s">
        <v>29</v>
      </c>
      <c r="D145" s="31">
        <v>0</v>
      </c>
      <c r="E145" s="31">
        <v>0</v>
      </c>
      <c r="F145" s="31">
        <v>0</v>
      </c>
      <c r="G145" s="31">
        <v>1</v>
      </c>
      <c r="H145" s="31">
        <v>1</v>
      </c>
      <c r="I145" s="31">
        <v>1</v>
      </c>
      <c r="J145" s="31">
        <f>I145</f>
        <v>1</v>
      </c>
      <c r="K145" s="31">
        <f>J145</f>
        <v>1</v>
      </c>
      <c r="L145" s="31">
        <v>1</v>
      </c>
      <c r="M145" s="31">
        <v>1</v>
      </c>
    </row>
    <row r="146" spans="1:21" s="30" customFormat="1" x14ac:dyDescent="0.25">
      <c r="A146" s="28"/>
      <c r="B146" s="48"/>
      <c r="D146" s="33"/>
      <c r="E146" s="33"/>
      <c r="F146" s="33"/>
      <c r="G146" s="33"/>
      <c r="H146" s="33"/>
      <c r="I146" s="33"/>
      <c r="J146" s="33"/>
      <c r="K146" s="33"/>
    </row>
    <row r="147" spans="1:21" ht="15.75" thickBot="1" x14ac:dyDescent="0.3">
      <c r="A147" s="16"/>
      <c r="B147" s="17"/>
      <c r="C147" s="34" t="s">
        <v>39</v>
      </c>
      <c r="D147" s="17"/>
      <c r="E147" s="17"/>
      <c r="F147" s="17"/>
      <c r="G147" s="17"/>
      <c r="H147" s="17"/>
      <c r="I147" s="17"/>
      <c r="J147" s="17"/>
      <c r="K147" s="17"/>
      <c r="L147" s="17"/>
      <c r="M147" s="17"/>
    </row>
    <row r="148" spans="1:21" ht="15.75" thickBot="1" x14ac:dyDescent="0.3">
      <c r="A148" s="16"/>
      <c r="B148" s="35" t="s">
        <v>40</v>
      </c>
      <c r="C148" s="36">
        <f>NPV(RDR,D148:M148)*(1+RDR)</f>
        <v>3.3956239199471043</v>
      </c>
      <c r="D148" s="37">
        <f>(D144*$I$122)+(D145*$J$122)-I139</f>
        <v>0</v>
      </c>
      <c r="E148" s="37">
        <f>(E144*$I$122)+(E145*$J$122)</f>
        <v>0.62984761904761899</v>
      </c>
      <c r="F148" s="37">
        <f t="shared" ref="F148:M148" si="23">(F144*$I$122)+(F145*$J$122)</f>
        <v>0.62984761904761899</v>
      </c>
      <c r="G148" s="37">
        <f t="shared" si="23"/>
        <v>0.47677999999999998</v>
      </c>
      <c r="H148" s="37">
        <f t="shared" si="23"/>
        <v>0.47677999999999998</v>
      </c>
      <c r="I148" s="37">
        <f t="shared" si="23"/>
        <v>0.47677999999999998</v>
      </c>
      <c r="J148" s="37">
        <f t="shared" si="23"/>
        <v>0.47677999999999998</v>
      </c>
      <c r="K148" s="37">
        <f t="shared" si="23"/>
        <v>0.47677999999999998</v>
      </c>
      <c r="L148" s="37">
        <f t="shared" si="23"/>
        <v>0.47677999999999998</v>
      </c>
      <c r="M148" s="37">
        <f t="shared" si="23"/>
        <v>0.47677999999999998</v>
      </c>
    </row>
    <row r="149" spans="1:21" x14ac:dyDescent="0.25">
      <c r="A149" s="16"/>
      <c r="B149" s="35" t="s">
        <v>41</v>
      </c>
      <c r="C149" s="38">
        <f>-PMT(RDR,B137,C148,,)</f>
        <v>0.48140723545910963</v>
      </c>
      <c r="D149" s="17"/>
      <c r="E149" s="17"/>
      <c r="F149" s="17"/>
      <c r="G149" s="17"/>
      <c r="H149" s="17"/>
      <c r="I149" s="17"/>
      <c r="J149" s="17"/>
      <c r="K149" s="17"/>
      <c r="L149" s="17"/>
      <c r="M149" s="17"/>
    </row>
    <row r="150" spans="1:21" ht="15.75" thickBot="1" x14ac:dyDescent="0.3">
      <c r="A150" s="16"/>
      <c r="B150" s="19" t="s">
        <v>42</v>
      </c>
      <c r="C150" s="39">
        <v>1</v>
      </c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2" spans="1:21" s="42" customFormat="1" x14ac:dyDescent="0.25">
      <c r="A152" s="40"/>
      <c r="B152" s="41"/>
      <c r="C152" s="41"/>
      <c r="I152" s="55" t="s">
        <v>26</v>
      </c>
      <c r="J152" s="56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</row>
    <row r="153" spans="1:21" ht="26.25" x14ac:dyDescent="0.25">
      <c r="A153" s="19" t="s">
        <v>27</v>
      </c>
      <c r="B153" s="20">
        <v>2018</v>
      </c>
      <c r="C153" s="17"/>
      <c r="H153" s="17"/>
      <c r="I153" s="21" t="s">
        <v>55</v>
      </c>
      <c r="J153" s="21" t="s">
        <v>29</v>
      </c>
      <c r="K153" s="17"/>
      <c r="L153" s="17"/>
      <c r="M153" s="22" t="s">
        <v>30</v>
      </c>
      <c r="N153" s="23">
        <f>N119</f>
        <v>769</v>
      </c>
      <c r="O153" s="17"/>
      <c r="P153" s="17"/>
      <c r="Q153" s="17"/>
      <c r="R153" s="17"/>
      <c r="S153" s="17"/>
      <c r="T153" s="17"/>
      <c r="U153" s="17"/>
    </row>
    <row r="154" spans="1:21" ht="15.75" thickBot="1" x14ac:dyDescent="0.3">
      <c r="A154" s="19" t="s">
        <v>31</v>
      </c>
      <c r="B154" s="24">
        <v>10</v>
      </c>
      <c r="C154" s="17"/>
      <c r="E154" s="54" t="s">
        <v>32</v>
      </c>
      <c r="F154" s="54"/>
      <c r="G154" s="54"/>
      <c r="H154" s="54"/>
      <c r="I154" s="20">
        <f>I137</f>
        <v>4200</v>
      </c>
      <c r="J154" s="20">
        <v>10000</v>
      </c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1:21" ht="15.75" thickBot="1" x14ac:dyDescent="0.3">
      <c r="A155" s="17" t="s">
        <v>33</v>
      </c>
      <c r="B155" s="25">
        <f>RDR</f>
        <v>6.9080333333333341E-2</v>
      </c>
      <c r="C155" s="17"/>
      <c r="E155" s="54" t="s">
        <v>34</v>
      </c>
      <c r="F155" s="54"/>
      <c r="G155" s="54"/>
      <c r="H155" s="54"/>
      <c r="I155" s="26">
        <f>I138</f>
        <v>3.44</v>
      </c>
      <c r="J155" s="26">
        <f>J138</f>
        <v>6.2</v>
      </c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 x14ac:dyDescent="0.25">
      <c r="A156" s="16"/>
      <c r="B156" s="17"/>
      <c r="C156" s="17"/>
      <c r="E156" s="54" t="s">
        <v>35</v>
      </c>
      <c r="F156" s="54"/>
      <c r="G156" s="54"/>
      <c r="H156" s="54"/>
      <c r="I156" s="27">
        <f>$N$119/I154*I155</f>
        <v>0.62984761904761899</v>
      </c>
      <c r="J156" s="27">
        <f>$N$119/J154*J155</f>
        <v>0.47677999999999998</v>
      </c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x14ac:dyDescent="0.25">
      <c r="A157" s="16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 spans="1:21" x14ac:dyDescent="0.25">
      <c r="A158" s="28"/>
      <c r="B158" s="16"/>
      <c r="C158" s="16"/>
      <c r="D158" s="16"/>
      <c r="E158" s="16"/>
      <c r="F158" s="16"/>
      <c r="G158" s="17"/>
      <c r="H158" s="17"/>
      <c r="I158" s="17"/>
      <c r="J158" s="17"/>
      <c r="K158" s="17"/>
      <c r="L158" s="17"/>
      <c r="M158" s="17"/>
    </row>
    <row r="159" spans="1:21" s="30" customFormat="1" ht="12.75" x14ac:dyDescent="0.2">
      <c r="A159" s="29"/>
      <c r="C159" s="30" t="s">
        <v>36</v>
      </c>
      <c r="D159" s="30">
        <f>B153</f>
        <v>2018</v>
      </c>
      <c r="E159" s="30">
        <f>D159+1</f>
        <v>2019</v>
      </c>
      <c r="F159" s="30">
        <f t="shared" ref="F159:M159" si="24">E159+1</f>
        <v>2020</v>
      </c>
      <c r="G159" s="30">
        <f t="shared" si="24"/>
        <v>2021</v>
      </c>
      <c r="H159" s="30">
        <f t="shared" si="24"/>
        <v>2022</v>
      </c>
      <c r="I159" s="30">
        <f t="shared" si="24"/>
        <v>2023</v>
      </c>
      <c r="J159" s="30">
        <f t="shared" si="24"/>
        <v>2024</v>
      </c>
      <c r="K159" s="30">
        <f t="shared" si="24"/>
        <v>2025</v>
      </c>
      <c r="L159" s="30">
        <f t="shared" si="24"/>
        <v>2026</v>
      </c>
      <c r="M159" s="30">
        <f t="shared" si="24"/>
        <v>2027</v>
      </c>
    </row>
    <row r="160" spans="1:21" s="30" customFormat="1" x14ac:dyDescent="0.25">
      <c r="A160" s="53" t="s">
        <v>37</v>
      </c>
      <c r="B160" s="53"/>
      <c r="C160" s="30" t="s">
        <v>28</v>
      </c>
      <c r="D160" s="31">
        <v>0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f t="shared" ref="J160:L161" si="25">I160</f>
        <v>0</v>
      </c>
      <c r="K160" s="31">
        <f t="shared" si="25"/>
        <v>0</v>
      </c>
      <c r="L160" s="31">
        <f t="shared" si="25"/>
        <v>0</v>
      </c>
      <c r="M160" s="31">
        <f>L160</f>
        <v>0</v>
      </c>
    </row>
    <row r="161" spans="1:13" s="30" customFormat="1" x14ac:dyDescent="0.25">
      <c r="A161" s="53"/>
      <c r="B161" s="53"/>
      <c r="C161" s="30" t="s">
        <v>38</v>
      </c>
      <c r="D161" s="31">
        <v>1</v>
      </c>
      <c r="E161" s="31">
        <v>1</v>
      </c>
      <c r="F161" s="31">
        <v>0</v>
      </c>
      <c r="G161" s="31">
        <v>0</v>
      </c>
      <c r="H161" s="31">
        <v>0</v>
      </c>
      <c r="I161" s="31">
        <v>0</v>
      </c>
      <c r="J161" s="31">
        <f t="shared" si="25"/>
        <v>0</v>
      </c>
      <c r="K161" s="31">
        <f t="shared" si="25"/>
        <v>0</v>
      </c>
      <c r="L161" s="31">
        <v>0</v>
      </c>
      <c r="M161" s="31">
        <v>0</v>
      </c>
    </row>
    <row r="162" spans="1:13" s="30" customFormat="1" x14ac:dyDescent="0.25">
      <c r="A162" s="28"/>
      <c r="B162" s="48"/>
      <c r="C162" s="30" t="s">
        <v>29</v>
      </c>
      <c r="D162" s="31">
        <v>0</v>
      </c>
      <c r="E162" s="31">
        <v>0</v>
      </c>
      <c r="F162" s="31">
        <v>1</v>
      </c>
      <c r="G162" s="31">
        <v>1</v>
      </c>
      <c r="H162" s="31">
        <v>1</v>
      </c>
      <c r="I162" s="31">
        <v>1</v>
      </c>
      <c r="J162" s="31">
        <f>I162</f>
        <v>1</v>
      </c>
      <c r="K162" s="31">
        <f>J162</f>
        <v>1</v>
      </c>
      <c r="L162" s="31">
        <v>1</v>
      </c>
      <c r="M162" s="31">
        <v>1</v>
      </c>
    </row>
    <row r="163" spans="1:13" s="30" customFormat="1" x14ac:dyDescent="0.25">
      <c r="A163" s="28"/>
      <c r="B163" s="48"/>
      <c r="D163" s="33"/>
      <c r="E163" s="33"/>
      <c r="F163" s="33"/>
      <c r="G163" s="33"/>
      <c r="H163" s="33"/>
      <c r="I163" s="33"/>
      <c r="J163" s="33"/>
      <c r="K163" s="33"/>
    </row>
    <row r="164" spans="1:13" ht="15.75" thickBot="1" x14ac:dyDescent="0.3">
      <c r="A164" s="16"/>
      <c r="B164" s="17"/>
      <c r="C164" s="34" t="s">
        <v>39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 spans="1:13" ht="15.75" thickBot="1" x14ac:dyDescent="0.3">
      <c r="A165" s="16"/>
      <c r="B165" s="35" t="s">
        <v>40</v>
      </c>
      <c r="C165" s="36">
        <f>NPV(RDR,D165:M165)*(1+RDR)</f>
        <v>3.2616986143451734</v>
      </c>
      <c r="D165" s="37">
        <f>(D161*$I$122)+(D162*$J$122)-I156</f>
        <v>0</v>
      </c>
      <c r="E165" s="37">
        <f>(E161*$I$122)+(E162*$J$122)</f>
        <v>0.62984761904761899</v>
      </c>
      <c r="F165" s="37">
        <f t="shared" ref="F165:M165" si="26">(F161*$I$122)+(F162*$J$122)</f>
        <v>0.47677999999999998</v>
      </c>
      <c r="G165" s="37">
        <f t="shared" si="26"/>
        <v>0.47677999999999998</v>
      </c>
      <c r="H165" s="37">
        <f t="shared" si="26"/>
        <v>0.47677999999999998</v>
      </c>
      <c r="I165" s="37">
        <f t="shared" si="26"/>
        <v>0.47677999999999998</v>
      </c>
      <c r="J165" s="37">
        <f t="shared" si="26"/>
        <v>0.47677999999999998</v>
      </c>
      <c r="K165" s="37">
        <f t="shared" si="26"/>
        <v>0.47677999999999998</v>
      </c>
      <c r="L165" s="37">
        <f t="shared" si="26"/>
        <v>0.47677999999999998</v>
      </c>
      <c r="M165" s="37">
        <f t="shared" si="26"/>
        <v>0.47677999999999998</v>
      </c>
    </row>
    <row r="166" spans="1:13" x14ac:dyDescent="0.25">
      <c r="A166" s="16"/>
      <c r="B166" s="35" t="s">
        <v>41</v>
      </c>
      <c r="C166" s="38">
        <f>-PMT(RDR,B154,C165,,)</f>
        <v>0.46242026497951472</v>
      </c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 ht="15.75" thickBot="1" x14ac:dyDescent="0.3">
      <c r="A167" s="16"/>
      <c r="B167" s="19" t="s">
        <v>42</v>
      </c>
      <c r="C167" s="39">
        <v>1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</sheetData>
  <mergeCells count="49">
    <mergeCell ref="I45:J45"/>
    <mergeCell ref="E47:H47"/>
    <mergeCell ref="E48:H48"/>
    <mergeCell ref="E13:H13"/>
    <mergeCell ref="A1:J1"/>
    <mergeCell ref="A4:A5"/>
    <mergeCell ref="B4:D4"/>
    <mergeCell ref="E4:G4"/>
    <mergeCell ref="I11:J11"/>
    <mergeCell ref="I28:J28"/>
    <mergeCell ref="E30:H30"/>
    <mergeCell ref="E31:H31"/>
    <mergeCell ref="E32:H32"/>
    <mergeCell ref="A36:B37"/>
    <mergeCell ref="A72:B73"/>
    <mergeCell ref="E49:H49"/>
    <mergeCell ref="E14:H14"/>
    <mergeCell ref="E15:H15"/>
    <mergeCell ref="A19:B20"/>
    <mergeCell ref="A53:B54"/>
    <mergeCell ref="I64:J64"/>
    <mergeCell ref="E66:H66"/>
    <mergeCell ref="E67:H67"/>
    <mergeCell ref="E68:H68"/>
    <mergeCell ref="E122:H122"/>
    <mergeCell ref="A126:B127"/>
    <mergeCell ref="I118:J118"/>
    <mergeCell ref="E120:H120"/>
    <mergeCell ref="I81:J81"/>
    <mergeCell ref="E83:H83"/>
    <mergeCell ref="E84:H84"/>
    <mergeCell ref="E85:H85"/>
    <mergeCell ref="A89:B90"/>
    <mergeCell ref="I98:J98"/>
    <mergeCell ref="E100:H100"/>
    <mergeCell ref="E101:H101"/>
    <mergeCell ref="E102:H102"/>
    <mergeCell ref="A106:B107"/>
    <mergeCell ref="E121:H121"/>
    <mergeCell ref="I135:J135"/>
    <mergeCell ref="E137:H137"/>
    <mergeCell ref="A160:B161"/>
    <mergeCell ref="E139:H139"/>
    <mergeCell ref="A143:B144"/>
    <mergeCell ref="I152:J152"/>
    <mergeCell ref="E154:H154"/>
    <mergeCell ref="E155:H155"/>
    <mergeCell ref="E156:H156"/>
    <mergeCell ref="E138:H138"/>
  </mergeCells>
  <pageMargins left="0.7" right="0.7" top="0.75" bottom="0.75" header="0.3" footer="0.3"/>
  <pageSetup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BA0BBD-FBA4-4F9E-B3E3-F3AAB6C7CDFF}"/>
</file>

<file path=customXml/itemProps2.xml><?xml version="1.0" encoding="utf-8"?>
<ds:datastoreItem xmlns:ds="http://schemas.openxmlformats.org/officeDocument/2006/customXml" ds:itemID="{3EF22B5B-4DA8-48DC-8D3B-93A6238CE273}"/>
</file>

<file path=customXml/itemProps3.xml><?xml version="1.0" encoding="utf-8"?>
<ds:datastoreItem xmlns:ds="http://schemas.openxmlformats.org/officeDocument/2006/customXml" ds:itemID="{AD7CA7FC-76D4-4D13-8E87-BC920ADCEA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Sheet2</vt:lpstr>
      <vt:lpstr>Omni O&amp;M Calc &lt;15W</vt:lpstr>
      <vt:lpstr>Omni O&amp;M Calc &gt;15W</vt:lpstr>
      <vt:lpstr>Sheet2!_ftn1</vt:lpstr>
      <vt:lpstr>Sheet2!_ftnref1</vt:lpstr>
      <vt:lpstr>'Omni O&amp;M Calc &lt;15W'!RDR</vt:lpstr>
      <vt:lpstr>'Omni O&amp;M Calc &gt;15W'!RDR</vt:lpstr>
    </vt:vector>
  </TitlesOfParts>
  <Company>VEIC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Dent</dc:creator>
  <cp:lastModifiedBy>Asa Parker</cp:lastModifiedBy>
  <dcterms:created xsi:type="dcterms:W3CDTF">2015-05-07T15:22:39Z</dcterms:created>
  <dcterms:modified xsi:type="dcterms:W3CDTF">2016-06-25T16:15:42Z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